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2.xml" ContentType="application/vnd.ms-excel.controlproperties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showHorizontalScroll="0" showVerticalScroll="0" xWindow="0" yWindow="0" windowWidth="9720" windowHeight="6180"/>
  </bookViews>
  <sheets>
    <sheet name="Recipe to Formula (1)" sheetId="25" r:id="rId1"/>
    <sheet name="Recipe to Formula (2)" sheetId="32" r:id="rId2"/>
    <sheet name="Recipe to Formula (3)" sheetId="33" r:id="rId3"/>
    <sheet name="%Analysis" sheetId="2" r:id="rId4"/>
    <sheet name="Revisions" sheetId="34" r:id="rId5"/>
  </sheets>
  <definedNames>
    <definedName name="_SiO2" localSheetId="1">#REF!</definedName>
    <definedName name="_SiO2" localSheetId="2">#REF!</definedName>
    <definedName name="_SiO2">#REF!</definedName>
    <definedName name="_TiO2" localSheetId="1">#REF!</definedName>
    <definedName name="_TiO2" localSheetId="2">#REF!</definedName>
    <definedName name="_TiO2">#REF!</definedName>
    <definedName name="Al2O3" localSheetId="1">#REF!</definedName>
    <definedName name="Al2O3" localSheetId="2">#REF!</definedName>
    <definedName name="Al2O3">#REF!</definedName>
    <definedName name="B2O3" localSheetId="1">#REF!</definedName>
    <definedName name="B2O3" localSheetId="2">#REF!</definedName>
    <definedName name="B2O3">#REF!</definedName>
    <definedName name="BaO" localSheetId="1">#REF!</definedName>
    <definedName name="BaO" localSheetId="2">#REF!</definedName>
    <definedName name="BaO">#REF!</definedName>
    <definedName name="CaO" localSheetId="1">#REF!</definedName>
    <definedName name="CaO" localSheetId="2">#REF!</definedName>
    <definedName name="CaO">#REF!</definedName>
    <definedName name="Fe2O3" localSheetId="1">#REF!</definedName>
    <definedName name="Fe2O3" localSheetId="2">#REF!</definedName>
    <definedName name="Fe2O3">#REF!</definedName>
    <definedName name="K2O" localSheetId="1">#REF!</definedName>
    <definedName name="K2O" localSheetId="2">#REF!</definedName>
    <definedName name="K2O">#REF!</definedName>
    <definedName name="Li2O" localSheetId="1">#REF!</definedName>
    <definedName name="Li2O" localSheetId="2">#REF!</definedName>
    <definedName name="Li2O">#REF!</definedName>
    <definedName name="MgO" localSheetId="1">#REF!</definedName>
    <definedName name="MgO" localSheetId="2">#REF!</definedName>
    <definedName name="MgO">#REF!</definedName>
    <definedName name="Mineral">'%Analysis'!$A$5:$A$74</definedName>
    <definedName name="Na2O" localSheetId="1">#REF!</definedName>
    <definedName name="Na2O" localSheetId="2">#REF!</definedName>
    <definedName name="Na2O">#REF!</definedName>
    <definedName name="_xlnm.Print_Area" localSheetId="0">'Recipe to Formula (1)'!$A$1:$N$22</definedName>
    <definedName name="_xlnm.Print_Area" localSheetId="1">'Recipe to Formula (2)'!$A$1:$N$22</definedName>
    <definedName name="_xlnm.Print_Area" localSheetId="2">'Recipe to Formula (3)'!$A$1:$N$22</definedName>
    <definedName name="SrO" localSheetId="1">#REF!</definedName>
    <definedName name="SrO" localSheetId="2">#REF!</definedName>
    <definedName name="SrO">#REF!</definedName>
    <definedName name="Z_F4BE76DD_723E_4733_BD34_0D79E0B93861_.wvu.PrintArea" localSheetId="0" hidden="1">'Recipe to Formula (1)'!$A$2:$M$26</definedName>
    <definedName name="Z_F4BE76DD_723E_4733_BD34_0D79E0B93861_.wvu.PrintArea" localSheetId="1" hidden="1">'Recipe to Formula (2)'!$A$2:$M$26</definedName>
    <definedName name="Z_F4BE76DD_723E_4733_BD34_0D79E0B93861_.wvu.PrintArea" localSheetId="2" hidden="1">'Recipe to Formula (3)'!$A$2:$M$26</definedName>
    <definedName name="ZnO" localSheetId="1">#REF!</definedName>
    <definedName name="ZnO" localSheetId="2">#REF!</definedName>
    <definedName name="ZnO">#REF!</definedName>
  </definedNames>
  <calcPr calcId="145621" iterateDelta="1E-4"/>
  <customWorkbookViews>
    <customWorkbookView name="Bob - Personal View" guid="{F4BE76DD-723E-4733-BD34-0D79E0B93861}" mergeInterval="0" personalView="1" showHorizontalScroll="0" showVerticalScroll="0" windowWidth="1920" windowHeight="1040" activeSheetId="3"/>
  </customWorkbookViews>
</workbook>
</file>

<file path=xl/calcChain.xml><?xml version="1.0" encoding="utf-8"?>
<calcChain xmlns="http://schemas.openxmlformats.org/spreadsheetml/2006/main">
  <c r="Z154" i="33" l="1"/>
  <c r="Z153" i="33"/>
  <c r="F153" i="33"/>
  <c r="Z152" i="33"/>
  <c r="Z151" i="33"/>
  <c r="Z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Z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Z148" i="33"/>
  <c r="B148" i="33"/>
  <c r="Z147" i="33"/>
  <c r="C147" i="33"/>
  <c r="U147" i="33" s="1"/>
  <c r="B147" i="33"/>
  <c r="V147" i="33" s="1"/>
  <c r="Z146" i="33"/>
  <c r="C146" i="33"/>
  <c r="U146" i="33" s="1"/>
  <c r="B146" i="33"/>
  <c r="V146" i="33" s="1"/>
  <c r="Z145" i="33"/>
  <c r="C145" i="33"/>
  <c r="U145" i="33" s="1"/>
  <c r="B145" i="33"/>
  <c r="T145" i="33" s="1"/>
  <c r="Z144" i="33"/>
  <c r="C144" i="33"/>
  <c r="U144" i="33" s="1"/>
  <c r="B144" i="33"/>
  <c r="P144" i="33" s="1"/>
  <c r="Z143" i="33"/>
  <c r="C143" i="33"/>
  <c r="B143" i="33"/>
  <c r="Z142" i="33"/>
  <c r="C142" i="33"/>
  <c r="B142" i="33"/>
  <c r="Z141" i="33"/>
  <c r="C141" i="33"/>
  <c r="B141" i="33"/>
  <c r="Z140" i="33"/>
  <c r="C140" i="33"/>
  <c r="V140" i="33" s="1"/>
  <c r="B140" i="33"/>
  <c r="Z139" i="33"/>
  <c r="C139" i="33"/>
  <c r="B139" i="33"/>
  <c r="Z138" i="33"/>
  <c r="C138" i="33"/>
  <c r="V138" i="33" s="1"/>
  <c r="B138" i="33"/>
  <c r="Z137" i="33"/>
  <c r="C137" i="33"/>
  <c r="B137" i="33"/>
  <c r="N137" i="33" s="1"/>
  <c r="Z136" i="33"/>
  <c r="C136" i="33"/>
  <c r="V136" i="33" s="1"/>
  <c r="B136" i="33"/>
  <c r="Z135" i="33"/>
  <c r="Z134" i="33"/>
  <c r="Z133" i="33"/>
  <c r="Z132" i="33"/>
  <c r="Z131" i="33"/>
  <c r="Z130" i="33"/>
  <c r="Z129" i="33"/>
  <c r="Z128" i="33"/>
  <c r="Z127" i="33"/>
  <c r="Z126" i="33"/>
  <c r="Z125" i="33"/>
  <c r="Z124" i="33"/>
  <c r="Z123" i="33"/>
  <c r="Z122" i="33"/>
  <c r="Z121" i="33"/>
  <c r="Z120" i="33"/>
  <c r="Z119" i="33"/>
  <c r="Z118" i="33"/>
  <c r="Z117" i="33"/>
  <c r="Z116" i="33"/>
  <c r="Z115" i="33"/>
  <c r="Z114" i="33"/>
  <c r="Z113" i="33"/>
  <c r="Z112" i="33"/>
  <c r="Z111" i="33"/>
  <c r="Z110" i="33"/>
  <c r="Z109" i="33"/>
  <c r="Z108" i="33"/>
  <c r="Z107" i="33"/>
  <c r="Z106" i="33"/>
  <c r="Z105" i="33"/>
  <c r="Z104" i="33"/>
  <c r="Z103" i="33"/>
  <c r="Z102" i="33"/>
  <c r="Z101" i="33"/>
  <c r="Z100" i="33"/>
  <c r="Z99" i="33"/>
  <c r="Z98" i="33"/>
  <c r="Z97" i="33"/>
  <c r="Z96" i="33"/>
  <c r="Z95" i="33"/>
  <c r="Z94" i="33"/>
  <c r="Z93" i="33"/>
  <c r="Z92" i="33"/>
  <c r="Z91" i="33"/>
  <c r="Z90" i="33"/>
  <c r="Z89" i="33"/>
  <c r="Z88" i="33"/>
  <c r="G88" i="33"/>
  <c r="Z87" i="33"/>
  <c r="Z86" i="33"/>
  <c r="Z85" i="33"/>
  <c r="Z84" i="33"/>
  <c r="G84" i="33"/>
  <c r="M84" i="33" s="1"/>
  <c r="Z83" i="33"/>
  <c r="Z82" i="33"/>
  <c r="Z81" i="33"/>
  <c r="Z80" i="33"/>
  <c r="Z79" i="33"/>
  <c r="Z78" i="33"/>
  <c r="Z77" i="33"/>
  <c r="Z76" i="33"/>
  <c r="T76" i="33"/>
  <c r="Z75" i="33"/>
  <c r="Z74" i="33"/>
  <c r="Z73" i="33"/>
  <c r="Z72" i="33"/>
  <c r="Z71" i="33"/>
  <c r="Z70" i="33"/>
  <c r="Z69" i="33"/>
  <c r="Z68" i="33"/>
  <c r="Z67" i="33"/>
  <c r="Z66" i="33"/>
  <c r="Z65" i="33"/>
  <c r="Q65" i="33"/>
  <c r="Z64" i="33"/>
  <c r="Z63" i="33"/>
  <c r="Z62" i="33"/>
  <c r="Z61" i="33"/>
  <c r="Z60" i="33"/>
  <c r="Z59" i="33"/>
  <c r="Z58" i="33"/>
  <c r="Z57" i="33"/>
  <c r="Z56" i="33"/>
  <c r="O56" i="33"/>
  <c r="Z55" i="33"/>
  <c r="O55" i="33"/>
  <c r="Z54" i="33"/>
  <c r="O54" i="33"/>
  <c r="Z53" i="33"/>
  <c r="O53" i="33"/>
  <c r="Z52" i="33"/>
  <c r="O52" i="33"/>
  <c r="Z51" i="33"/>
  <c r="O51" i="33"/>
  <c r="Z50" i="33"/>
  <c r="O50" i="33"/>
  <c r="Z49" i="33"/>
  <c r="O49" i="33"/>
  <c r="Z48" i="33"/>
  <c r="O48" i="33"/>
  <c r="Z47" i="33"/>
  <c r="O47" i="33"/>
  <c r="Z46" i="33"/>
  <c r="O46" i="33"/>
  <c r="Z45" i="33"/>
  <c r="O45" i="33"/>
  <c r="Z44" i="33"/>
  <c r="Z43" i="33"/>
  <c r="Z42" i="33"/>
  <c r="Z41" i="33"/>
  <c r="Z40" i="33"/>
  <c r="Z39" i="33"/>
  <c r="Z38" i="33"/>
  <c r="Z37" i="33"/>
  <c r="P37" i="33"/>
  <c r="O37" i="33"/>
  <c r="Z36" i="33"/>
  <c r="Z35" i="33"/>
  <c r="Z34" i="33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C19" i="33"/>
  <c r="C148" i="33" s="1"/>
  <c r="Z18" i="33"/>
  <c r="E18" i="33"/>
  <c r="D18" i="33"/>
  <c r="Z17" i="33"/>
  <c r="E17" i="33"/>
  <c r="D17" i="33"/>
  <c r="Z16" i="33"/>
  <c r="E16" i="33"/>
  <c r="D16" i="33"/>
  <c r="Z15" i="33"/>
  <c r="E15" i="33"/>
  <c r="D15" i="33"/>
  <c r="Z14" i="33"/>
  <c r="D14" i="33"/>
  <c r="E14" i="33" s="1"/>
  <c r="Z13" i="33"/>
  <c r="E13" i="33"/>
  <c r="D13" i="33"/>
  <c r="Z12" i="33"/>
  <c r="D12" i="33"/>
  <c r="E12" i="33" s="1"/>
  <c r="Z11" i="33"/>
  <c r="E11" i="33"/>
  <c r="D11" i="33"/>
  <c r="Z10" i="33"/>
  <c r="D10" i="33"/>
  <c r="E10" i="33" s="1"/>
  <c r="Z9" i="33"/>
  <c r="E9" i="33"/>
  <c r="D9" i="33"/>
  <c r="Z8" i="33"/>
  <c r="D8" i="33"/>
  <c r="E8" i="33" s="1"/>
  <c r="Z7" i="33"/>
  <c r="E7" i="33"/>
  <c r="D7" i="33"/>
  <c r="Z6" i="33"/>
  <c r="Z5" i="33"/>
  <c r="Z4" i="33"/>
  <c r="Z3" i="33"/>
  <c r="Z154" i="32"/>
  <c r="Z153" i="32"/>
  <c r="F153" i="32"/>
  <c r="Z152" i="32"/>
  <c r="Z151" i="32"/>
  <c r="Z150" i="32"/>
  <c r="V150" i="32"/>
  <c r="U150" i="32"/>
  <c r="T150" i="32"/>
  <c r="S150" i="32"/>
  <c r="R150" i="32"/>
  <c r="Q150" i="32"/>
  <c r="P150" i="32"/>
  <c r="O150" i="32"/>
  <c r="N150" i="32"/>
  <c r="M150" i="32"/>
  <c r="L150" i="32"/>
  <c r="K150" i="32"/>
  <c r="J150" i="32"/>
  <c r="I150" i="32"/>
  <c r="H150" i="32"/>
  <c r="Z149" i="32"/>
  <c r="V149" i="32"/>
  <c r="U149" i="32"/>
  <c r="T149" i="32"/>
  <c r="S149" i="32"/>
  <c r="R149" i="32"/>
  <c r="Q149" i="32"/>
  <c r="P149" i="32"/>
  <c r="O149" i="32"/>
  <c r="N149" i="32"/>
  <c r="M149" i="32"/>
  <c r="L149" i="32"/>
  <c r="K149" i="32"/>
  <c r="J149" i="32"/>
  <c r="I149" i="32"/>
  <c r="H149" i="32"/>
  <c r="Z148" i="32"/>
  <c r="B148" i="32"/>
  <c r="Z147" i="32"/>
  <c r="V147" i="32"/>
  <c r="R147" i="32"/>
  <c r="N147" i="32"/>
  <c r="J147" i="32"/>
  <c r="C147" i="32"/>
  <c r="U147" i="32" s="1"/>
  <c r="B147" i="32"/>
  <c r="T147" i="32" s="1"/>
  <c r="Z146" i="32"/>
  <c r="C146" i="32"/>
  <c r="B146" i="32"/>
  <c r="Z145" i="32"/>
  <c r="V145" i="32"/>
  <c r="R145" i="32"/>
  <c r="N145" i="32"/>
  <c r="J145" i="32"/>
  <c r="C145" i="32"/>
  <c r="U145" i="32" s="1"/>
  <c r="B145" i="32"/>
  <c r="T145" i="32" s="1"/>
  <c r="Z144" i="32"/>
  <c r="C144" i="32"/>
  <c r="B144" i="32"/>
  <c r="Z143" i="32"/>
  <c r="C143" i="32"/>
  <c r="B143" i="32"/>
  <c r="T143" i="32" s="1"/>
  <c r="Z142" i="32"/>
  <c r="C142" i="32"/>
  <c r="B142" i="32"/>
  <c r="K142" i="32" s="1"/>
  <c r="Z141" i="32"/>
  <c r="C141" i="32"/>
  <c r="S141" i="32" s="1"/>
  <c r="B141" i="32"/>
  <c r="Z140" i="32"/>
  <c r="C140" i="32"/>
  <c r="S140" i="32" s="1"/>
  <c r="B140" i="32"/>
  <c r="K140" i="32" s="1"/>
  <c r="Z139" i="32"/>
  <c r="C139" i="32"/>
  <c r="S139" i="32" s="1"/>
  <c r="B139" i="32"/>
  <c r="Z138" i="32"/>
  <c r="C138" i="32"/>
  <c r="S138" i="32" s="1"/>
  <c r="B138" i="32"/>
  <c r="K138" i="32" s="1"/>
  <c r="Z137" i="32"/>
  <c r="C137" i="32"/>
  <c r="S137" i="32" s="1"/>
  <c r="B137" i="32"/>
  <c r="Z136" i="32"/>
  <c r="C136" i="32"/>
  <c r="S136" i="32" s="1"/>
  <c r="B136" i="32"/>
  <c r="K136" i="32" s="1"/>
  <c r="Z135" i="32"/>
  <c r="Z134" i="32"/>
  <c r="Z133" i="32"/>
  <c r="Z132" i="32"/>
  <c r="Z131" i="32"/>
  <c r="Z130" i="32"/>
  <c r="Z129" i="32"/>
  <c r="Z128" i="32"/>
  <c r="Z127" i="32"/>
  <c r="Z126" i="32"/>
  <c r="Z125" i="32"/>
  <c r="Z124" i="32"/>
  <c r="Z123" i="32"/>
  <c r="Z122" i="32"/>
  <c r="Z121" i="32"/>
  <c r="Z120" i="32"/>
  <c r="Z119" i="32"/>
  <c r="Z118" i="32"/>
  <c r="Z117" i="32"/>
  <c r="Z116" i="32"/>
  <c r="Z115" i="32"/>
  <c r="Z114" i="32"/>
  <c r="Z113" i="32"/>
  <c r="Z112" i="32"/>
  <c r="Z111" i="32"/>
  <c r="Z110" i="32"/>
  <c r="Z109" i="32"/>
  <c r="Z108" i="32"/>
  <c r="Z107" i="32"/>
  <c r="Z106" i="32"/>
  <c r="Z105" i="32"/>
  <c r="Z104" i="32"/>
  <c r="Z103" i="32"/>
  <c r="Z102" i="32"/>
  <c r="Z101" i="32"/>
  <c r="Z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G88" i="32"/>
  <c r="Z87" i="32"/>
  <c r="Z86" i="32"/>
  <c r="Z85" i="32"/>
  <c r="Z84" i="32"/>
  <c r="L84" i="32"/>
  <c r="G84" i="32"/>
  <c r="M84" i="32" s="1"/>
  <c r="Z83" i="32"/>
  <c r="Z82" i="32"/>
  <c r="Z81" i="32"/>
  <c r="Z80" i="32"/>
  <c r="Z79" i="32"/>
  <c r="Z78" i="32"/>
  <c r="Z77" i="32"/>
  <c r="Z76" i="32"/>
  <c r="T76" i="32"/>
  <c r="Z75" i="32"/>
  <c r="Z74" i="32"/>
  <c r="Z73" i="32"/>
  <c r="Z72" i="32"/>
  <c r="Z71" i="32"/>
  <c r="Z70" i="32"/>
  <c r="Z69" i="32"/>
  <c r="Z68" i="32"/>
  <c r="Z67" i="32"/>
  <c r="Z66" i="32"/>
  <c r="Z65" i="32"/>
  <c r="Q65" i="32"/>
  <c r="Z64" i="32"/>
  <c r="Z63" i="32"/>
  <c r="Z62" i="32"/>
  <c r="Z61" i="32"/>
  <c r="Z60" i="32"/>
  <c r="Z59" i="32"/>
  <c r="Z58" i="32"/>
  <c r="Z57" i="32"/>
  <c r="Z56" i="32"/>
  <c r="O56" i="32"/>
  <c r="Z55" i="32"/>
  <c r="O55" i="32"/>
  <c r="Z54" i="32"/>
  <c r="O54" i="32"/>
  <c r="Z53" i="32"/>
  <c r="O53" i="32"/>
  <c r="Z52" i="32"/>
  <c r="O52" i="32"/>
  <c r="Z51" i="32"/>
  <c r="O51" i="32"/>
  <c r="Z50" i="32"/>
  <c r="O50" i="32"/>
  <c r="Z49" i="32"/>
  <c r="O49" i="32"/>
  <c r="Z48" i="32"/>
  <c r="O48" i="32"/>
  <c r="Z47" i="32"/>
  <c r="O47" i="32"/>
  <c r="Z46" i="32"/>
  <c r="O46" i="32"/>
  <c r="Z45" i="32"/>
  <c r="O45" i="32"/>
  <c r="Z44" i="32"/>
  <c r="Z43" i="32"/>
  <c r="Z42" i="32"/>
  <c r="Z41" i="32"/>
  <c r="Z40" i="32"/>
  <c r="Z39" i="32"/>
  <c r="Z38" i="32"/>
  <c r="Z37" i="32"/>
  <c r="P37" i="32"/>
  <c r="O37" i="32"/>
  <c r="Z36" i="32"/>
  <c r="Z35" i="32"/>
  <c r="Z34" i="32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C19" i="32"/>
  <c r="C148" i="32" s="1"/>
  <c r="Z18" i="32"/>
  <c r="E18" i="32"/>
  <c r="D18" i="32"/>
  <c r="Z17" i="32"/>
  <c r="E17" i="32"/>
  <c r="D17" i="32"/>
  <c r="Z16" i="32"/>
  <c r="E16" i="32"/>
  <c r="D16" i="32"/>
  <c r="Z15" i="32"/>
  <c r="E15" i="32"/>
  <c r="D15" i="32"/>
  <c r="Z14" i="32"/>
  <c r="D14" i="32"/>
  <c r="E14" i="32" s="1"/>
  <c r="Z13" i="32"/>
  <c r="E13" i="32"/>
  <c r="D13" i="32"/>
  <c r="Z12" i="32"/>
  <c r="D12" i="32"/>
  <c r="E12" i="32" s="1"/>
  <c r="Z11" i="32"/>
  <c r="E11" i="32"/>
  <c r="D11" i="32"/>
  <c r="Z10" i="32"/>
  <c r="D10" i="32"/>
  <c r="E10" i="32" s="1"/>
  <c r="Z9" i="32"/>
  <c r="E9" i="32"/>
  <c r="D9" i="32"/>
  <c r="Z8" i="32"/>
  <c r="D8" i="32"/>
  <c r="E8" i="32" s="1"/>
  <c r="Z7" i="32"/>
  <c r="E7" i="32"/>
  <c r="D7" i="32"/>
  <c r="Z6" i="32"/>
  <c r="Z5" i="32"/>
  <c r="Z4" i="32"/>
  <c r="Z3" i="32"/>
  <c r="C91" i="2"/>
  <c r="C90" i="2"/>
  <c r="C88" i="2"/>
  <c r="C87" i="2"/>
  <c r="C86" i="2"/>
  <c r="C85" i="2"/>
  <c r="C84" i="2"/>
  <c r="C83" i="2"/>
  <c r="C82" i="2"/>
  <c r="C80" i="2"/>
  <c r="C79" i="2"/>
  <c r="C78" i="2"/>
  <c r="C77" i="2"/>
  <c r="C76" i="2"/>
  <c r="C75" i="2"/>
  <c r="C74" i="2"/>
  <c r="C73" i="2"/>
  <c r="C72" i="2"/>
  <c r="C71" i="2"/>
  <c r="C70" i="2"/>
  <c r="C69" i="2"/>
  <c r="C67" i="2"/>
  <c r="C66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3" i="2"/>
  <c r="C22" i="2"/>
  <c r="C21" i="2"/>
  <c r="C20" i="2"/>
  <c r="C18" i="2"/>
  <c r="C16" i="2"/>
  <c r="C15" i="2"/>
  <c r="C14" i="2"/>
  <c r="C13" i="2"/>
  <c r="C12" i="2"/>
  <c r="C11" i="2"/>
  <c r="C10" i="2"/>
  <c r="C9" i="2"/>
  <c r="C8" i="2"/>
  <c r="C7" i="2"/>
  <c r="C6" i="2"/>
  <c r="C5" i="2"/>
  <c r="K137" i="32" l="1"/>
  <c r="K139" i="32"/>
  <c r="K141" i="32"/>
  <c r="U143" i="32"/>
  <c r="N143" i="32"/>
  <c r="V143" i="32"/>
  <c r="V148" i="32"/>
  <c r="J143" i="32"/>
  <c r="R143" i="32"/>
  <c r="D19" i="33"/>
  <c r="T136" i="33"/>
  <c r="V137" i="33"/>
  <c r="J138" i="33"/>
  <c r="V139" i="33"/>
  <c r="V141" i="33"/>
  <c r="E19" i="33"/>
  <c r="U148" i="33"/>
  <c r="S148" i="33"/>
  <c r="Q148" i="33"/>
  <c r="O148" i="33"/>
  <c r="M148" i="33"/>
  <c r="K148" i="33"/>
  <c r="I148" i="33"/>
  <c r="V148" i="33"/>
  <c r="T148" i="33"/>
  <c r="R148" i="33"/>
  <c r="P148" i="33"/>
  <c r="N148" i="33"/>
  <c r="L148" i="33"/>
  <c r="J148" i="33"/>
  <c r="H148" i="33"/>
  <c r="L84" i="33"/>
  <c r="I136" i="33"/>
  <c r="K136" i="33"/>
  <c r="M136" i="33"/>
  <c r="O136" i="33"/>
  <c r="Q136" i="33"/>
  <c r="S136" i="33"/>
  <c r="U136" i="33"/>
  <c r="I137" i="33"/>
  <c r="K137" i="33"/>
  <c r="M137" i="33"/>
  <c r="O137" i="33"/>
  <c r="Q137" i="33"/>
  <c r="S137" i="33"/>
  <c r="U137" i="33"/>
  <c r="I138" i="33"/>
  <c r="K138" i="33"/>
  <c r="M138" i="33"/>
  <c r="O138" i="33"/>
  <c r="Q138" i="33"/>
  <c r="S138" i="33"/>
  <c r="U138" i="33"/>
  <c r="I139" i="33"/>
  <c r="K139" i="33"/>
  <c r="M139" i="33"/>
  <c r="O139" i="33"/>
  <c r="Q139" i="33"/>
  <c r="S139" i="33"/>
  <c r="U139" i="33"/>
  <c r="I140" i="33"/>
  <c r="K140" i="33"/>
  <c r="M140" i="33"/>
  <c r="O140" i="33"/>
  <c r="Q140" i="33"/>
  <c r="S140" i="33"/>
  <c r="U140" i="33"/>
  <c r="I141" i="33"/>
  <c r="K141" i="33"/>
  <c r="M141" i="33"/>
  <c r="O141" i="33"/>
  <c r="Q141" i="33"/>
  <c r="S141" i="33"/>
  <c r="U141" i="33"/>
  <c r="U142" i="33"/>
  <c r="S142" i="33"/>
  <c r="Q142" i="33"/>
  <c r="I142" i="33"/>
  <c r="K142" i="33"/>
  <c r="M142" i="33"/>
  <c r="O142" i="33"/>
  <c r="R142" i="33"/>
  <c r="V142" i="33"/>
  <c r="N143" i="33"/>
  <c r="L143" i="33"/>
  <c r="J143" i="33"/>
  <c r="H143" i="33"/>
  <c r="H136" i="33"/>
  <c r="J136" i="33"/>
  <c r="L136" i="33"/>
  <c r="N136" i="33"/>
  <c r="P136" i="33"/>
  <c r="R136" i="33"/>
  <c r="H137" i="33"/>
  <c r="J137" i="33"/>
  <c r="L137" i="33"/>
  <c r="P137" i="33"/>
  <c r="R137" i="33"/>
  <c r="T137" i="33"/>
  <c r="H138" i="33"/>
  <c r="L138" i="33"/>
  <c r="N138" i="33"/>
  <c r="P138" i="33"/>
  <c r="R138" i="33"/>
  <c r="T138" i="33"/>
  <c r="H139" i="33"/>
  <c r="J139" i="33"/>
  <c r="L139" i="33"/>
  <c r="N139" i="33"/>
  <c r="P139" i="33"/>
  <c r="R139" i="33"/>
  <c r="T139" i="33"/>
  <c r="H140" i="33"/>
  <c r="J140" i="33"/>
  <c r="L140" i="33"/>
  <c r="N140" i="33"/>
  <c r="P140" i="33"/>
  <c r="R140" i="33"/>
  <c r="T140" i="33"/>
  <c r="H141" i="33"/>
  <c r="J141" i="33"/>
  <c r="L141" i="33"/>
  <c r="N141" i="33"/>
  <c r="P141" i="33"/>
  <c r="R141" i="33"/>
  <c r="T141" i="33"/>
  <c r="H142" i="33"/>
  <c r="J142" i="33"/>
  <c r="L142" i="33"/>
  <c r="N142" i="33"/>
  <c r="P142" i="33"/>
  <c r="T142" i="33"/>
  <c r="U143" i="33"/>
  <c r="P143" i="33"/>
  <c r="R143" i="33"/>
  <c r="T143" i="33"/>
  <c r="V143" i="33"/>
  <c r="H144" i="33"/>
  <c r="J144" i="33"/>
  <c r="L144" i="33"/>
  <c r="N144" i="33"/>
  <c r="R144" i="33"/>
  <c r="T144" i="33"/>
  <c r="V144" i="33"/>
  <c r="H145" i="33"/>
  <c r="J145" i="33"/>
  <c r="L145" i="33"/>
  <c r="N145" i="33"/>
  <c r="P145" i="33"/>
  <c r="R145" i="33"/>
  <c r="V145" i="33"/>
  <c r="H146" i="33"/>
  <c r="J146" i="33"/>
  <c r="L146" i="33"/>
  <c r="N146" i="33"/>
  <c r="P146" i="33"/>
  <c r="R146" i="33"/>
  <c r="T146" i="33"/>
  <c r="H147" i="33"/>
  <c r="J147" i="33"/>
  <c r="L147" i="33"/>
  <c r="N147" i="33"/>
  <c r="P147" i="33"/>
  <c r="R147" i="33"/>
  <c r="T147" i="33"/>
  <c r="I143" i="33"/>
  <c r="K143" i="33"/>
  <c r="M143" i="33"/>
  <c r="O143" i="33"/>
  <c r="Q143" i="33"/>
  <c r="S143" i="33"/>
  <c r="I144" i="33"/>
  <c r="K144" i="33"/>
  <c r="M144" i="33"/>
  <c r="O144" i="33"/>
  <c r="Q144" i="33"/>
  <c r="S144" i="33"/>
  <c r="I145" i="33"/>
  <c r="K145" i="33"/>
  <c r="M145" i="33"/>
  <c r="O145" i="33"/>
  <c r="Q145" i="33"/>
  <c r="S145" i="33"/>
  <c r="I146" i="33"/>
  <c r="K146" i="33"/>
  <c r="M146" i="33"/>
  <c r="O146" i="33"/>
  <c r="Q146" i="33"/>
  <c r="S146" i="33"/>
  <c r="I147" i="33"/>
  <c r="K147" i="33"/>
  <c r="M147" i="33"/>
  <c r="O147" i="33"/>
  <c r="Q147" i="33"/>
  <c r="S147" i="33"/>
  <c r="E19" i="32"/>
  <c r="V146" i="32"/>
  <c r="R146" i="32"/>
  <c r="N146" i="32"/>
  <c r="J146" i="32"/>
  <c r="T146" i="32"/>
  <c r="L146" i="32"/>
  <c r="H146" i="32"/>
  <c r="D19" i="32"/>
  <c r="V144" i="32"/>
  <c r="R144" i="32"/>
  <c r="N144" i="32"/>
  <c r="J144" i="32"/>
  <c r="T144" i="32"/>
  <c r="L144" i="32"/>
  <c r="H144" i="32"/>
  <c r="U148" i="32"/>
  <c r="S148" i="32"/>
  <c r="Q148" i="32"/>
  <c r="O148" i="32"/>
  <c r="M148" i="32"/>
  <c r="K148" i="32"/>
  <c r="I148" i="32"/>
  <c r="T148" i="32"/>
  <c r="P148" i="32"/>
  <c r="L148" i="32"/>
  <c r="H148" i="32"/>
  <c r="R148" i="32"/>
  <c r="J148" i="32"/>
  <c r="V136" i="32"/>
  <c r="T136" i="32"/>
  <c r="R136" i="32"/>
  <c r="P136" i="32"/>
  <c r="N136" i="32"/>
  <c r="L136" i="32"/>
  <c r="J136" i="32"/>
  <c r="H136" i="32"/>
  <c r="U136" i="32"/>
  <c r="Q136" i="32"/>
  <c r="M136" i="32"/>
  <c r="I136" i="32"/>
  <c r="O136" i="32"/>
  <c r="V137" i="32"/>
  <c r="T137" i="32"/>
  <c r="R137" i="32"/>
  <c r="P137" i="32"/>
  <c r="N137" i="32"/>
  <c r="L137" i="32"/>
  <c r="J137" i="32"/>
  <c r="H137" i="32"/>
  <c r="U137" i="32"/>
  <c r="Q137" i="32"/>
  <c r="M137" i="32"/>
  <c r="I137" i="32"/>
  <c r="O137" i="32"/>
  <c r="V138" i="32"/>
  <c r="T138" i="32"/>
  <c r="R138" i="32"/>
  <c r="P138" i="32"/>
  <c r="N138" i="32"/>
  <c r="L138" i="32"/>
  <c r="J138" i="32"/>
  <c r="H138" i="32"/>
  <c r="U138" i="32"/>
  <c r="Q138" i="32"/>
  <c r="M138" i="32"/>
  <c r="I138" i="32"/>
  <c r="O138" i="32"/>
  <c r="V139" i="32"/>
  <c r="T139" i="32"/>
  <c r="R139" i="32"/>
  <c r="P139" i="32"/>
  <c r="N139" i="32"/>
  <c r="L139" i="32"/>
  <c r="J139" i="32"/>
  <c r="H139" i="32"/>
  <c r="U139" i="32"/>
  <c r="Q139" i="32"/>
  <c r="M139" i="32"/>
  <c r="I139" i="32"/>
  <c r="O139" i="32"/>
  <c r="V140" i="32"/>
  <c r="T140" i="32"/>
  <c r="R140" i="32"/>
  <c r="P140" i="32"/>
  <c r="N140" i="32"/>
  <c r="L140" i="32"/>
  <c r="J140" i="32"/>
  <c r="H140" i="32"/>
  <c r="U140" i="32"/>
  <c r="Q140" i="32"/>
  <c r="M140" i="32"/>
  <c r="I140" i="32"/>
  <c r="O140" i="32"/>
  <c r="V141" i="32"/>
  <c r="T141" i="32"/>
  <c r="R141" i="32"/>
  <c r="P141" i="32"/>
  <c r="N141" i="32"/>
  <c r="L141" i="32"/>
  <c r="J141" i="32"/>
  <c r="H141" i="32"/>
  <c r="U141" i="32"/>
  <c r="Q141" i="32"/>
  <c r="M141" i="32"/>
  <c r="I141" i="32"/>
  <c r="O141" i="32"/>
  <c r="U142" i="32"/>
  <c r="S142" i="32"/>
  <c r="Q142" i="32"/>
  <c r="O142" i="32"/>
  <c r="V142" i="32"/>
  <c r="R142" i="32"/>
  <c r="N142" i="32"/>
  <c r="L142" i="32"/>
  <c r="J142" i="32"/>
  <c r="H142" i="32"/>
  <c r="T142" i="32"/>
  <c r="M142" i="32"/>
  <c r="I142" i="32"/>
  <c r="P142" i="32"/>
  <c r="P144" i="32"/>
  <c r="P146" i="32"/>
  <c r="N148" i="32"/>
  <c r="H143" i="32"/>
  <c r="L143" i="32"/>
  <c r="P143" i="32"/>
  <c r="U144" i="32"/>
  <c r="H145" i="32"/>
  <c r="L145" i="32"/>
  <c r="P145" i="32"/>
  <c r="U146" i="32"/>
  <c r="H147" i="32"/>
  <c r="L147" i="32"/>
  <c r="P147" i="32"/>
  <c r="I143" i="32"/>
  <c r="K143" i="32"/>
  <c r="M143" i="32"/>
  <c r="O143" i="32"/>
  <c r="Q143" i="32"/>
  <c r="S143" i="32"/>
  <c r="I144" i="32"/>
  <c r="K144" i="32"/>
  <c r="M144" i="32"/>
  <c r="O144" i="32"/>
  <c r="Q144" i="32"/>
  <c r="S144" i="32"/>
  <c r="I145" i="32"/>
  <c r="K145" i="32"/>
  <c r="M145" i="32"/>
  <c r="O145" i="32"/>
  <c r="Q145" i="32"/>
  <c r="S145" i="32"/>
  <c r="I146" i="32"/>
  <c r="K146" i="32"/>
  <c r="M146" i="32"/>
  <c r="O146" i="32"/>
  <c r="Q146" i="32"/>
  <c r="S146" i="32"/>
  <c r="I147" i="32"/>
  <c r="K147" i="32"/>
  <c r="M147" i="32"/>
  <c r="O147" i="32"/>
  <c r="Q147" i="32"/>
  <c r="S147" i="32"/>
  <c r="K153" i="32" l="1"/>
  <c r="S153" i="32"/>
  <c r="T153" i="33"/>
  <c r="V153" i="33"/>
  <c r="V155" i="33" s="1"/>
  <c r="T160" i="33"/>
  <c r="T155" i="33"/>
  <c r="P153" i="33"/>
  <c r="L153" i="33"/>
  <c r="H153" i="33"/>
  <c r="S153" i="33"/>
  <c r="O153" i="33"/>
  <c r="K153" i="33"/>
  <c r="R153" i="33"/>
  <c r="N153" i="33"/>
  <c r="J153" i="33"/>
  <c r="U153" i="33"/>
  <c r="U155" i="33" s="1"/>
  <c r="Q153" i="33"/>
  <c r="M153" i="33"/>
  <c r="I153" i="33"/>
  <c r="K160" i="32"/>
  <c r="K155" i="32"/>
  <c r="F61" i="32"/>
  <c r="S160" i="32"/>
  <c r="S155" i="32"/>
  <c r="M61" i="32"/>
  <c r="O153" i="32"/>
  <c r="M153" i="32"/>
  <c r="U153" i="32"/>
  <c r="U155" i="32" s="1"/>
  <c r="J153" i="32"/>
  <c r="N153" i="32"/>
  <c r="R153" i="32"/>
  <c r="V153" i="32"/>
  <c r="V155" i="32" s="1"/>
  <c r="I153" i="32"/>
  <c r="Q153" i="32"/>
  <c r="H153" i="32"/>
  <c r="L153" i="32"/>
  <c r="P153" i="32"/>
  <c r="T153" i="32"/>
  <c r="D10" i="25"/>
  <c r="E10" i="25"/>
  <c r="D9" i="25"/>
  <c r="E9" i="25"/>
  <c r="D8" i="25"/>
  <c r="D11" i="25"/>
  <c r="D12" i="25"/>
  <c r="E12" i="25"/>
  <c r="D13" i="25"/>
  <c r="D14" i="25"/>
  <c r="E14" i="25"/>
  <c r="D15" i="25"/>
  <c r="D16" i="25"/>
  <c r="O50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Z107" i="25"/>
  <c r="Z108" i="25"/>
  <c r="Z109" i="25"/>
  <c r="Z110" i="25"/>
  <c r="Z111" i="25"/>
  <c r="Z112" i="25"/>
  <c r="Z113" i="25"/>
  <c r="Z114" i="25"/>
  <c r="Z115" i="25"/>
  <c r="Z116" i="25"/>
  <c r="Z117" i="25"/>
  <c r="Z118" i="25"/>
  <c r="Z119" i="25"/>
  <c r="Z120" i="25"/>
  <c r="Z121" i="25"/>
  <c r="Z122" i="25"/>
  <c r="Z123" i="25"/>
  <c r="Z124" i="25"/>
  <c r="Z125" i="25"/>
  <c r="Z126" i="25"/>
  <c r="Z127" i="25"/>
  <c r="Z128" i="25"/>
  <c r="Z129" i="25"/>
  <c r="Z130" i="25"/>
  <c r="Z131" i="25"/>
  <c r="Z132" i="25"/>
  <c r="Z133" i="25"/>
  <c r="Z134" i="25"/>
  <c r="Z135" i="25"/>
  <c r="Z136" i="25"/>
  <c r="Z137" i="25"/>
  <c r="Z138" i="25"/>
  <c r="Z139" i="25"/>
  <c r="Z140" i="25"/>
  <c r="Z141" i="25"/>
  <c r="Z142" i="25"/>
  <c r="Z143" i="25"/>
  <c r="Z144" i="25"/>
  <c r="Z145" i="25"/>
  <c r="Z146" i="25"/>
  <c r="Z147" i="25"/>
  <c r="Z148" i="25"/>
  <c r="Z149" i="25"/>
  <c r="Z150" i="25"/>
  <c r="Z151" i="25"/>
  <c r="Z152" i="25"/>
  <c r="Z153" i="25"/>
  <c r="Z154" i="25"/>
  <c r="Z35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20" i="25"/>
  <c r="Z21" i="25"/>
  <c r="Z22" i="25"/>
  <c r="T76" i="25"/>
  <c r="Q65" i="25"/>
  <c r="O45" i="25"/>
  <c r="O48" i="25"/>
  <c r="O49" i="25"/>
  <c r="H150" i="25"/>
  <c r="I150" i="25"/>
  <c r="J150" i="25"/>
  <c r="K150" i="25"/>
  <c r="L150" i="25"/>
  <c r="M150" i="25"/>
  <c r="N150" i="25"/>
  <c r="O150" i="25"/>
  <c r="P150" i="25"/>
  <c r="Q150" i="25"/>
  <c r="F153" i="25"/>
  <c r="V150" i="25"/>
  <c r="U150" i="25"/>
  <c r="T150" i="25"/>
  <c r="S150" i="25"/>
  <c r="R150" i="25"/>
  <c r="V149" i="25"/>
  <c r="U149" i="25"/>
  <c r="T149" i="25"/>
  <c r="S149" i="25"/>
  <c r="R149" i="25"/>
  <c r="Q149" i="25"/>
  <c r="P149" i="25"/>
  <c r="O149" i="25"/>
  <c r="N149" i="25"/>
  <c r="M149" i="25"/>
  <c r="L149" i="25"/>
  <c r="K149" i="25"/>
  <c r="J149" i="25"/>
  <c r="I149" i="25"/>
  <c r="H149" i="25"/>
  <c r="B148" i="25"/>
  <c r="C147" i="25"/>
  <c r="B147" i="25"/>
  <c r="C146" i="25"/>
  <c r="B146" i="25"/>
  <c r="L146" i="25"/>
  <c r="C145" i="25"/>
  <c r="B145" i="25"/>
  <c r="C144" i="25"/>
  <c r="B144" i="25"/>
  <c r="I144" i="25"/>
  <c r="C143" i="25"/>
  <c r="B143" i="25"/>
  <c r="I143" i="25"/>
  <c r="C142" i="25"/>
  <c r="B142" i="25"/>
  <c r="C141" i="25"/>
  <c r="B141" i="25"/>
  <c r="C140" i="25"/>
  <c r="B140" i="25"/>
  <c r="C139" i="25"/>
  <c r="B139" i="25"/>
  <c r="C138" i="25"/>
  <c r="B138" i="25"/>
  <c r="C137" i="25"/>
  <c r="B137" i="25"/>
  <c r="C136" i="25"/>
  <c r="B136" i="25"/>
  <c r="O56" i="25"/>
  <c r="O55" i="25"/>
  <c r="O53" i="25"/>
  <c r="O54" i="25"/>
  <c r="O52" i="25"/>
  <c r="O51" i="25"/>
  <c r="O46" i="25"/>
  <c r="O47" i="25"/>
  <c r="P37" i="25"/>
  <c r="O37" i="25"/>
  <c r="Z19" i="25"/>
  <c r="C19" i="25"/>
  <c r="C148" i="25"/>
  <c r="Z18" i="25"/>
  <c r="D18" i="25"/>
  <c r="E18" i="25"/>
  <c r="Z17" i="25"/>
  <c r="D17" i="25"/>
  <c r="E17" i="25"/>
  <c r="Z16" i="25"/>
  <c r="E16" i="25"/>
  <c r="Z15" i="25"/>
  <c r="E15" i="25"/>
  <c r="Z14" i="25"/>
  <c r="Z13" i="25"/>
  <c r="E13" i="25"/>
  <c r="Z12" i="25"/>
  <c r="Z11" i="25"/>
  <c r="E11" i="25"/>
  <c r="Z10" i="25"/>
  <c r="Z9" i="25"/>
  <c r="Z8" i="25"/>
  <c r="Z7" i="25"/>
  <c r="D7" i="25"/>
  <c r="E7" i="25"/>
  <c r="Z6" i="25"/>
  <c r="Z5" i="25"/>
  <c r="Z4" i="25"/>
  <c r="Z3" i="25"/>
  <c r="Q146" i="25"/>
  <c r="M147" i="25"/>
  <c r="Q145" i="25"/>
  <c r="L145" i="25"/>
  <c r="H147" i="25"/>
  <c r="L147" i="25"/>
  <c r="U146" i="25"/>
  <c r="N143" i="25"/>
  <c r="T146" i="25"/>
  <c r="N147" i="25"/>
  <c r="I147" i="25"/>
  <c r="K146" i="25"/>
  <c r="K145" i="25"/>
  <c r="K147" i="25"/>
  <c r="J147" i="25"/>
  <c r="H146" i="25"/>
  <c r="R145" i="25"/>
  <c r="M144" i="25"/>
  <c r="R143" i="25"/>
  <c r="R146" i="25"/>
  <c r="P145" i="25"/>
  <c r="O147" i="25"/>
  <c r="V147" i="25"/>
  <c r="S146" i="25"/>
  <c r="M146" i="25"/>
  <c r="V145" i="25"/>
  <c r="S145" i="25"/>
  <c r="T145" i="25"/>
  <c r="Q144" i="25"/>
  <c r="J143" i="25"/>
  <c r="P147" i="25"/>
  <c r="S147" i="25"/>
  <c r="R147" i="25"/>
  <c r="U147" i="25"/>
  <c r="P146" i="25"/>
  <c r="O146" i="25"/>
  <c r="I145" i="25"/>
  <c r="J145" i="25"/>
  <c r="U144" i="25"/>
  <c r="O143" i="25"/>
  <c r="U145" i="25"/>
  <c r="T147" i="25"/>
  <c r="Q147" i="25"/>
  <c r="J146" i="25"/>
  <c r="O144" i="25"/>
  <c r="K144" i="25"/>
  <c r="V144" i="25"/>
  <c r="R144" i="25"/>
  <c r="L144" i="25"/>
  <c r="J144" i="25"/>
  <c r="T144" i="25"/>
  <c r="S144" i="25"/>
  <c r="Q143" i="25"/>
  <c r="H143" i="25"/>
  <c r="T143" i="25"/>
  <c r="U143" i="25"/>
  <c r="M141" i="25"/>
  <c r="M142" i="25"/>
  <c r="U141" i="25"/>
  <c r="K141" i="25"/>
  <c r="K143" i="25"/>
  <c r="M143" i="25"/>
  <c r="S143" i="25"/>
  <c r="L143" i="25"/>
  <c r="K142" i="25"/>
  <c r="V141" i="25"/>
  <c r="R140" i="25"/>
  <c r="S136" i="25"/>
  <c r="U139" i="25"/>
  <c r="V136" i="25"/>
  <c r="V153" i="25" s="1"/>
  <c r="V155" i="25" s="1"/>
  <c r="R139" i="25"/>
  <c r="H140" i="25"/>
  <c r="O140" i="25"/>
  <c r="T139" i="25"/>
  <c r="M138" i="25"/>
  <c r="I137" i="25"/>
  <c r="V137" i="25"/>
  <c r="L136" i="25"/>
  <c r="P136" i="25"/>
  <c r="Q142" i="25"/>
  <c r="T138" i="25"/>
  <c r="I139" i="25"/>
  <c r="H137" i="25"/>
  <c r="H141" i="25"/>
  <c r="U140" i="25"/>
  <c r="Q136" i="25"/>
  <c r="N137" i="25"/>
  <c r="J137" i="25"/>
  <c r="S138" i="25"/>
  <c r="H139" i="25"/>
  <c r="O139" i="25"/>
  <c r="I140" i="25"/>
  <c r="J140" i="25"/>
  <c r="O137" i="25"/>
  <c r="L137" i="25"/>
  <c r="V139" i="25"/>
  <c r="J136" i="25"/>
  <c r="T140" i="25"/>
  <c r="L141" i="25"/>
  <c r="N141" i="25"/>
  <c r="I138" i="25"/>
  <c r="P140" i="25"/>
  <c r="P141" i="25"/>
  <c r="P137" i="25"/>
  <c r="P139" i="25"/>
  <c r="V138" i="25"/>
  <c r="T136" i="25"/>
  <c r="N136" i="25"/>
  <c r="U137" i="25"/>
  <c r="R137" i="25"/>
  <c r="K137" i="25"/>
  <c r="M137" i="25"/>
  <c r="S137" i="25"/>
  <c r="J138" i="25"/>
  <c r="S139" i="25"/>
  <c r="Q139" i="25"/>
  <c r="K139" i="25"/>
  <c r="N140" i="25"/>
  <c r="L140" i="25"/>
  <c r="S140" i="25"/>
  <c r="M140" i="25"/>
  <c r="L138" i="25"/>
  <c r="H136" i="25"/>
  <c r="Q137" i="25"/>
  <c r="J139" i="25"/>
  <c r="M139" i="25"/>
  <c r="T137" i="25"/>
  <c r="L139" i="25"/>
  <c r="V140" i="25"/>
  <c r="S141" i="25"/>
  <c r="Q141" i="25"/>
  <c r="O141" i="25"/>
  <c r="J141" i="25"/>
  <c r="V142" i="25"/>
  <c r="N142" i="25"/>
  <c r="P138" i="25"/>
  <c r="T141" i="25"/>
  <c r="I141" i="25"/>
  <c r="J142" i="25"/>
  <c r="O142" i="25"/>
  <c r="S142" i="25"/>
  <c r="K140" i="25"/>
  <c r="N139" i="25"/>
  <c r="O145" i="25"/>
  <c r="H144" i="25"/>
  <c r="P143" i="25"/>
  <c r="T142" i="25"/>
  <c r="N146" i="25"/>
  <c r="I146" i="25"/>
  <c r="V146" i="25"/>
  <c r="N145" i="25"/>
  <c r="M145" i="25"/>
  <c r="I142" i="25"/>
  <c r="U142" i="25"/>
  <c r="R142" i="25"/>
  <c r="H142" i="25"/>
  <c r="P142" i="25"/>
  <c r="H145" i="25"/>
  <c r="N144" i="25"/>
  <c r="P144" i="25"/>
  <c r="V143" i="25"/>
  <c r="L142" i="25"/>
  <c r="R141" i="25"/>
  <c r="E8" i="25"/>
  <c r="D19" i="25"/>
  <c r="Q140" i="25"/>
  <c r="U138" i="25"/>
  <c r="E19" i="25"/>
  <c r="H148" i="25"/>
  <c r="R148" i="25"/>
  <c r="Q148" i="25"/>
  <c r="P148" i="25"/>
  <c r="N148" i="25"/>
  <c r="K148" i="25"/>
  <c r="M148" i="25"/>
  <c r="I148" i="25"/>
  <c r="U148" i="25"/>
  <c r="S148" i="25"/>
  <c r="J148" i="25"/>
  <c r="T148" i="25"/>
  <c r="V148" i="25"/>
  <c r="L148" i="25"/>
  <c r="L153" i="25"/>
  <c r="O148" i="25"/>
  <c r="S153" i="25"/>
  <c r="M136" i="25"/>
  <c r="Q138" i="25"/>
  <c r="K138" i="25"/>
  <c r="T153" i="25"/>
  <c r="R138" i="25"/>
  <c r="N138" i="25"/>
  <c r="O138" i="25"/>
  <c r="H138" i="25"/>
  <c r="U136" i="25"/>
  <c r="O136" i="25"/>
  <c r="R136" i="25"/>
  <c r="K136" i="25"/>
  <c r="I136" i="25"/>
  <c r="G84" i="25"/>
  <c r="G88" i="25"/>
  <c r="I160" i="33" l="1"/>
  <c r="I155" i="33"/>
  <c r="D61" i="33"/>
  <c r="Q160" i="33"/>
  <c r="Q155" i="33"/>
  <c r="J160" i="33"/>
  <c r="J155" i="33"/>
  <c r="E61" i="33"/>
  <c r="R160" i="33"/>
  <c r="R155" i="33"/>
  <c r="K61" i="33"/>
  <c r="O160" i="33"/>
  <c r="O155" i="33"/>
  <c r="H61" i="33"/>
  <c r="H160" i="33"/>
  <c r="H155" i="33"/>
  <c r="G160" i="33"/>
  <c r="G161" i="33" s="1"/>
  <c r="C61" i="33"/>
  <c r="P160" i="33"/>
  <c r="P161" i="33" s="1"/>
  <c r="P155" i="33"/>
  <c r="L61" i="33"/>
  <c r="M160" i="33"/>
  <c r="M161" i="33" s="1"/>
  <c r="M155" i="33"/>
  <c r="G61" i="33"/>
  <c r="N160" i="33"/>
  <c r="N161" i="33" s="1"/>
  <c r="N155" i="33"/>
  <c r="J61" i="33"/>
  <c r="K160" i="33"/>
  <c r="K161" i="33" s="1"/>
  <c r="K155" i="33"/>
  <c r="F61" i="33"/>
  <c r="S160" i="33"/>
  <c r="S161" i="33" s="1"/>
  <c r="S155" i="33"/>
  <c r="M61" i="33"/>
  <c r="L160" i="33"/>
  <c r="L161" i="33" s="1"/>
  <c r="L155" i="33"/>
  <c r="I61" i="33"/>
  <c r="T161" i="33"/>
  <c r="P160" i="32"/>
  <c r="P155" i="32"/>
  <c r="L61" i="32"/>
  <c r="H160" i="32"/>
  <c r="H155" i="32"/>
  <c r="C61" i="32"/>
  <c r="G160" i="32"/>
  <c r="G161" i="32" s="1"/>
  <c r="I160" i="32"/>
  <c r="I155" i="32"/>
  <c r="D61" i="32"/>
  <c r="R160" i="32"/>
  <c r="R161" i="32" s="1"/>
  <c r="R155" i="32"/>
  <c r="K61" i="32"/>
  <c r="J160" i="32"/>
  <c r="J161" i="32" s="1"/>
  <c r="J155" i="32"/>
  <c r="E61" i="32"/>
  <c r="M160" i="32"/>
  <c r="M161" i="32" s="1"/>
  <c r="M155" i="32"/>
  <c r="G61" i="32"/>
  <c r="M91" i="32"/>
  <c r="S62" i="32"/>
  <c r="S161" i="32"/>
  <c r="T160" i="32"/>
  <c r="T161" i="32" s="1"/>
  <c r="T155" i="32"/>
  <c r="L160" i="32"/>
  <c r="L161" i="32" s="1"/>
  <c r="L155" i="32"/>
  <c r="I61" i="32"/>
  <c r="Q160" i="32"/>
  <c r="Q161" i="32" s="1"/>
  <c r="Q155" i="32"/>
  <c r="N160" i="32"/>
  <c r="N161" i="32" s="1"/>
  <c r="N155" i="32"/>
  <c r="J61" i="32"/>
  <c r="O160" i="32"/>
  <c r="O161" i="32" s="1"/>
  <c r="O155" i="32"/>
  <c r="H61" i="32"/>
  <c r="F91" i="32"/>
  <c r="F63" i="32"/>
  <c r="F65" i="32" s="1"/>
  <c r="F67" i="32" s="1"/>
  <c r="F69" i="32" s="1"/>
  <c r="F71" i="32" s="1"/>
  <c r="K161" i="32"/>
  <c r="P153" i="25"/>
  <c r="K153" i="25"/>
  <c r="K160" i="25" s="1"/>
  <c r="M84" i="25"/>
  <c r="L84" i="25"/>
  <c r="L61" i="25"/>
  <c r="P160" i="25"/>
  <c r="P155" i="25"/>
  <c r="T155" i="25"/>
  <c r="T160" i="25"/>
  <c r="S155" i="25"/>
  <c r="M61" i="25"/>
  <c r="S160" i="25"/>
  <c r="L155" i="25"/>
  <c r="L160" i="25"/>
  <c r="K155" i="25"/>
  <c r="F61" i="25"/>
  <c r="M153" i="25"/>
  <c r="N153" i="25"/>
  <c r="O153" i="25"/>
  <c r="H153" i="25"/>
  <c r="J153" i="25"/>
  <c r="Q153" i="25"/>
  <c r="I61" i="25"/>
  <c r="I153" i="25"/>
  <c r="R153" i="25"/>
  <c r="U153" i="25"/>
  <c r="U155" i="25" s="1"/>
  <c r="N160" i="25"/>
  <c r="I161" i="32" l="1"/>
  <c r="M91" i="33"/>
  <c r="S62" i="33"/>
  <c r="J91" i="33"/>
  <c r="U76" i="33"/>
  <c r="J63" i="33"/>
  <c r="J65" i="33" s="1"/>
  <c r="J67" i="33" s="1"/>
  <c r="J69" i="33" s="1"/>
  <c r="J71" i="33" s="1"/>
  <c r="J73" i="33" s="1"/>
  <c r="J75" i="33" s="1"/>
  <c r="G91" i="33"/>
  <c r="G63" i="33"/>
  <c r="G65" i="33" s="1"/>
  <c r="G67" i="33" s="1"/>
  <c r="G69" i="33" s="1"/>
  <c r="G71" i="33" s="1"/>
  <c r="G73" i="33" s="1"/>
  <c r="G75" i="33" s="1"/>
  <c r="G77" i="33" s="1"/>
  <c r="G79" i="33" s="1"/>
  <c r="G81" i="33" s="1"/>
  <c r="G83" i="33" s="1"/>
  <c r="L91" i="33"/>
  <c r="L63" i="33"/>
  <c r="H161" i="33"/>
  <c r="K91" i="33"/>
  <c r="Q62" i="33"/>
  <c r="R161" i="33"/>
  <c r="Q161" i="33"/>
  <c r="F155" i="33"/>
  <c r="I91" i="33"/>
  <c r="I63" i="33"/>
  <c r="I65" i="33" s="1"/>
  <c r="I67" i="33" s="1"/>
  <c r="I69" i="33" s="1"/>
  <c r="I71" i="33" s="1"/>
  <c r="I73" i="33" s="1"/>
  <c r="I75" i="33" s="1"/>
  <c r="I77" i="33" s="1"/>
  <c r="I79" i="33" s="1"/>
  <c r="I81" i="33" s="1"/>
  <c r="F91" i="33"/>
  <c r="F63" i="33"/>
  <c r="F65" i="33" s="1"/>
  <c r="F67" i="33" s="1"/>
  <c r="F69" i="33" s="1"/>
  <c r="F71" i="33" s="1"/>
  <c r="C91" i="33"/>
  <c r="P62" i="33"/>
  <c r="N62" i="33"/>
  <c r="H156" i="33"/>
  <c r="Q157" i="33" s="1"/>
  <c r="H91" i="33"/>
  <c r="H63" i="33"/>
  <c r="H65" i="33" s="1"/>
  <c r="H67" i="33" s="1"/>
  <c r="H69" i="33" s="1"/>
  <c r="H71" i="33" s="1"/>
  <c r="H73" i="33" s="1"/>
  <c r="H75" i="33" s="1"/>
  <c r="H77" i="33" s="1"/>
  <c r="O161" i="33"/>
  <c r="E91" i="33"/>
  <c r="E63" i="33"/>
  <c r="E65" i="33" s="1"/>
  <c r="E67" i="33" s="1"/>
  <c r="E69" i="33" s="1"/>
  <c r="J161" i="33"/>
  <c r="D91" i="33"/>
  <c r="D63" i="33"/>
  <c r="D65" i="33" s="1"/>
  <c r="I161" i="33"/>
  <c r="I91" i="32"/>
  <c r="I63" i="32"/>
  <c r="I65" i="32" s="1"/>
  <c r="I67" i="32" s="1"/>
  <c r="I69" i="32" s="1"/>
  <c r="I71" i="32" s="1"/>
  <c r="I73" i="32" s="1"/>
  <c r="I75" i="32" s="1"/>
  <c r="I77" i="32" s="1"/>
  <c r="I79" i="32" s="1"/>
  <c r="I81" i="32" s="1"/>
  <c r="E91" i="32"/>
  <c r="E63" i="32"/>
  <c r="E65" i="32" s="1"/>
  <c r="E67" i="32" s="1"/>
  <c r="E69" i="32" s="1"/>
  <c r="D91" i="32"/>
  <c r="D63" i="32"/>
  <c r="D65" i="32" s="1"/>
  <c r="N62" i="32"/>
  <c r="C91" i="32"/>
  <c r="P62" i="32"/>
  <c r="H161" i="32"/>
  <c r="N72" i="32"/>
  <c r="H91" i="32"/>
  <c r="H63" i="32"/>
  <c r="H65" i="32" s="1"/>
  <c r="H67" i="32" s="1"/>
  <c r="H69" i="32" s="1"/>
  <c r="H71" i="32" s="1"/>
  <c r="H73" i="32" s="1"/>
  <c r="H75" i="32" s="1"/>
  <c r="H77" i="32" s="1"/>
  <c r="J91" i="32"/>
  <c r="J63" i="32"/>
  <c r="J65" i="32" s="1"/>
  <c r="J67" i="32" s="1"/>
  <c r="J69" i="32" s="1"/>
  <c r="J71" i="32" s="1"/>
  <c r="J73" i="32" s="1"/>
  <c r="J75" i="32" s="1"/>
  <c r="U76" i="32"/>
  <c r="G91" i="32"/>
  <c r="G63" i="32"/>
  <c r="G65" i="32" s="1"/>
  <c r="G67" i="32" s="1"/>
  <c r="G69" i="32" s="1"/>
  <c r="G71" i="32" s="1"/>
  <c r="G73" i="32" s="1"/>
  <c r="G75" i="32" s="1"/>
  <c r="G77" i="32" s="1"/>
  <c r="G79" i="32" s="1"/>
  <c r="G81" i="32" s="1"/>
  <c r="G83" i="32" s="1"/>
  <c r="Q62" i="32"/>
  <c r="K91" i="32"/>
  <c r="F155" i="32"/>
  <c r="H156" i="32"/>
  <c r="N157" i="32" s="1"/>
  <c r="L91" i="32"/>
  <c r="L63" i="32"/>
  <c r="P161" i="32"/>
  <c r="K61" i="25"/>
  <c r="R160" i="25"/>
  <c r="R155" i="25"/>
  <c r="I63" i="25"/>
  <c r="I65" i="25" s="1"/>
  <c r="I67" i="25" s="1"/>
  <c r="I69" i="25" s="1"/>
  <c r="I71" i="25" s="1"/>
  <c r="I73" i="25" s="1"/>
  <c r="I75" i="25" s="1"/>
  <c r="I77" i="25" s="1"/>
  <c r="I79" i="25" s="1"/>
  <c r="I81" i="25" s="1"/>
  <c r="I91" i="25"/>
  <c r="J155" i="25"/>
  <c r="J160" i="25"/>
  <c r="E61" i="25"/>
  <c r="O155" i="25"/>
  <c r="O160" i="25"/>
  <c r="H61" i="25"/>
  <c r="G61" i="25"/>
  <c r="M160" i="25"/>
  <c r="M155" i="25"/>
  <c r="S62" i="25"/>
  <c r="M91" i="25"/>
  <c r="D61" i="25"/>
  <c r="I160" i="25"/>
  <c r="I155" i="25"/>
  <c r="Q155" i="25"/>
  <c r="Q160" i="25"/>
  <c r="H160" i="25"/>
  <c r="H161" i="25" s="1"/>
  <c r="C61" i="25"/>
  <c r="H155" i="25"/>
  <c r="G160" i="25"/>
  <c r="P161" i="25" s="1"/>
  <c r="N155" i="25"/>
  <c r="J61" i="25"/>
  <c r="F91" i="25"/>
  <c r="F63" i="25"/>
  <c r="F65" i="25" s="1"/>
  <c r="F67" i="25" s="1"/>
  <c r="F69" i="25" s="1"/>
  <c r="F71" i="25" s="1"/>
  <c r="N72" i="25" s="1"/>
  <c r="L161" i="25"/>
  <c r="S161" i="25"/>
  <c r="L91" i="25"/>
  <c r="L63" i="25"/>
  <c r="R64" i="25" s="1"/>
  <c r="H157" i="32" l="1"/>
  <c r="I157" i="32"/>
  <c r="C62" i="33"/>
  <c r="P66" i="33"/>
  <c r="O66" i="33"/>
  <c r="N70" i="33"/>
  <c r="P70" i="33"/>
  <c r="V157" i="33"/>
  <c r="T157" i="33"/>
  <c r="U157" i="33"/>
  <c r="M62" i="33"/>
  <c r="M63" i="33" s="1"/>
  <c r="K62" i="33"/>
  <c r="K63" i="33" s="1"/>
  <c r="C63" i="33"/>
  <c r="B92" i="33"/>
  <c r="E92" i="33" s="1"/>
  <c r="G6" i="33" s="1"/>
  <c r="M157" i="33"/>
  <c r="N72" i="33"/>
  <c r="F92" i="33"/>
  <c r="I4" i="33" s="1"/>
  <c r="P82" i="33"/>
  <c r="O82" i="33"/>
  <c r="I92" i="33"/>
  <c r="I6" i="33" s="1"/>
  <c r="I157" i="33"/>
  <c r="J157" i="33"/>
  <c r="O157" i="33"/>
  <c r="R64" i="33"/>
  <c r="L92" i="33"/>
  <c r="K4" i="33" s="1"/>
  <c r="J76" i="33"/>
  <c r="F76" i="33"/>
  <c r="K157" i="33"/>
  <c r="M92" i="33"/>
  <c r="M4" i="33" s="1"/>
  <c r="M5" i="33" s="1"/>
  <c r="D92" i="33"/>
  <c r="G5" i="33" s="1"/>
  <c r="K6" i="33"/>
  <c r="R157" i="33"/>
  <c r="P78" i="33"/>
  <c r="O78" i="33"/>
  <c r="H92" i="33"/>
  <c r="I8" i="33" s="1"/>
  <c r="H157" i="33"/>
  <c r="P157" i="33"/>
  <c r="N157" i="33"/>
  <c r="S157" i="33"/>
  <c r="K92" i="33"/>
  <c r="K5" i="33" s="1"/>
  <c r="G85" i="33"/>
  <c r="P84" i="33"/>
  <c r="O84" i="33"/>
  <c r="G92" i="33"/>
  <c r="I5" i="33" s="1"/>
  <c r="J92" i="33"/>
  <c r="I7" i="33" s="1"/>
  <c r="L157" i="33"/>
  <c r="G85" i="32"/>
  <c r="P84" i="32"/>
  <c r="O84" i="32"/>
  <c r="T157" i="32"/>
  <c r="F76" i="32"/>
  <c r="J76" i="32"/>
  <c r="O78" i="32"/>
  <c r="P78" i="32"/>
  <c r="P157" i="32"/>
  <c r="B92" i="32"/>
  <c r="K92" i="32" s="1"/>
  <c r="K5" i="32" s="1"/>
  <c r="O66" i="32"/>
  <c r="P66" i="32"/>
  <c r="R157" i="32"/>
  <c r="E92" i="32"/>
  <c r="G6" i="32" s="1"/>
  <c r="M157" i="32"/>
  <c r="I92" i="32"/>
  <c r="I6" i="32" s="1"/>
  <c r="K6" i="32"/>
  <c r="R64" i="32"/>
  <c r="K157" i="32"/>
  <c r="V157" i="32"/>
  <c r="U157" i="32"/>
  <c r="S157" i="32"/>
  <c r="J157" i="32"/>
  <c r="G92" i="32"/>
  <c r="I5" i="32" s="1"/>
  <c r="L157" i="32"/>
  <c r="J77" i="32"/>
  <c r="J79" i="32" s="1"/>
  <c r="J81" i="32" s="1"/>
  <c r="J83" i="32" s="1"/>
  <c r="J85" i="32" s="1"/>
  <c r="J92" i="32"/>
  <c r="I7" i="32" s="1"/>
  <c r="C62" i="32"/>
  <c r="D92" i="32"/>
  <c r="G5" i="32" s="1"/>
  <c r="P70" i="32"/>
  <c r="N70" i="32"/>
  <c r="P82" i="32"/>
  <c r="O82" i="32"/>
  <c r="Q157" i="32"/>
  <c r="O157" i="32"/>
  <c r="M161" i="25"/>
  <c r="J161" i="25"/>
  <c r="I161" i="25"/>
  <c r="H156" i="25"/>
  <c r="H63" i="25"/>
  <c r="H65" i="25" s="1"/>
  <c r="H67" i="25" s="1"/>
  <c r="H69" i="25" s="1"/>
  <c r="H71" i="25" s="1"/>
  <c r="H73" i="25" s="1"/>
  <c r="H75" i="25" s="1"/>
  <c r="H77" i="25" s="1"/>
  <c r="H91" i="25"/>
  <c r="K91" i="25"/>
  <c r="Q62" i="25"/>
  <c r="Q157" i="25"/>
  <c r="J91" i="25"/>
  <c r="J63" i="25"/>
  <c r="J65" i="25" s="1"/>
  <c r="J67" i="25" s="1"/>
  <c r="J69" i="25" s="1"/>
  <c r="J71" i="25" s="1"/>
  <c r="J73" i="25" s="1"/>
  <c r="J75" i="25" s="1"/>
  <c r="U76" i="25"/>
  <c r="G161" i="25"/>
  <c r="K161" i="25"/>
  <c r="C91" i="25"/>
  <c r="P62" i="25"/>
  <c r="N62" i="25"/>
  <c r="Q161" i="25"/>
  <c r="F155" i="25"/>
  <c r="D91" i="25"/>
  <c r="D63" i="25"/>
  <c r="D65" i="25" s="1"/>
  <c r="T161" i="25"/>
  <c r="G91" i="25"/>
  <c r="G63" i="25"/>
  <c r="G65" i="25" s="1"/>
  <c r="G67" i="25" s="1"/>
  <c r="G69" i="25" s="1"/>
  <c r="G71" i="25" s="1"/>
  <c r="G73" i="25" s="1"/>
  <c r="G75" i="25" s="1"/>
  <c r="G77" i="25" s="1"/>
  <c r="G79" i="25" s="1"/>
  <c r="G81" i="25" s="1"/>
  <c r="G83" i="25" s="1"/>
  <c r="O161" i="25"/>
  <c r="E63" i="25"/>
  <c r="E65" i="25" s="1"/>
  <c r="E67" i="25" s="1"/>
  <c r="E69" i="25" s="1"/>
  <c r="E91" i="25"/>
  <c r="O82" i="25"/>
  <c r="P82" i="25"/>
  <c r="R161" i="25"/>
  <c r="N161" i="25"/>
  <c r="M76" i="33" l="1"/>
  <c r="L76" i="33"/>
  <c r="J77" i="33"/>
  <c r="J79" i="33" s="1"/>
  <c r="J81" i="33" s="1"/>
  <c r="J83" i="33" s="1"/>
  <c r="J85" i="33" s="1"/>
  <c r="C92" i="33"/>
  <c r="G4" i="33" s="1"/>
  <c r="G7" i="33" s="1"/>
  <c r="K65" i="33"/>
  <c r="Q64" i="33"/>
  <c r="G86" i="33"/>
  <c r="G8" i="33"/>
  <c r="P64" i="33"/>
  <c r="O64" i="33"/>
  <c r="S64" i="33"/>
  <c r="K62" i="32"/>
  <c r="K63" i="32" s="1"/>
  <c r="M62" i="32"/>
  <c r="M63" i="32" s="1"/>
  <c r="C63" i="32"/>
  <c r="C92" i="32"/>
  <c r="G4" i="32" s="1"/>
  <c r="G7" i="32" s="1"/>
  <c r="H92" i="32"/>
  <c r="I8" i="32" s="1"/>
  <c r="L76" i="32"/>
  <c r="M76" i="32"/>
  <c r="J86" i="32"/>
  <c r="F92" i="32"/>
  <c r="I4" i="32" s="1"/>
  <c r="G8" i="32" s="1"/>
  <c r="M92" i="32"/>
  <c r="M4" i="32" s="1"/>
  <c r="G86" i="32"/>
  <c r="L92" i="32"/>
  <c r="K4" i="32" s="1"/>
  <c r="C62" i="25"/>
  <c r="G85" i="25"/>
  <c r="G86" i="25" s="1"/>
  <c r="P84" i="25"/>
  <c r="O84" i="25"/>
  <c r="P66" i="25"/>
  <c r="O66" i="25"/>
  <c r="M62" i="25"/>
  <c r="M63" i="25" s="1"/>
  <c r="S64" i="25" s="1"/>
  <c r="K62" i="25"/>
  <c r="K63" i="25" s="1"/>
  <c r="B92" i="25"/>
  <c r="J92" i="25" s="1"/>
  <c r="I7" i="25" s="1"/>
  <c r="F76" i="25"/>
  <c r="J76" i="25"/>
  <c r="K92" i="25"/>
  <c r="K5" i="25" s="1"/>
  <c r="H92" i="25"/>
  <c r="I8" i="25" s="1"/>
  <c r="V157" i="25"/>
  <c r="S157" i="25"/>
  <c r="T157" i="25"/>
  <c r="I157" i="25"/>
  <c r="L157" i="25"/>
  <c r="U157" i="25"/>
  <c r="H157" i="25"/>
  <c r="O157" i="25"/>
  <c r="P157" i="25"/>
  <c r="M157" i="25"/>
  <c r="J157" i="25"/>
  <c r="K157" i="25"/>
  <c r="R157" i="25"/>
  <c r="P70" i="25"/>
  <c r="N70" i="25"/>
  <c r="G92" i="25"/>
  <c r="I5" i="25" s="1"/>
  <c r="D92" i="25"/>
  <c r="G5" i="25" s="1"/>
  <c r="C63" i="25"/>
  <c r="J77" i="25"/>
  <c r="J79" i="25" s="1"/>
  <c r="J81" i="25" s="1"/>
  <c r="J83" i="25" s="1"/>
  <c r="J85" i="25" s="1"/>
  <c r="J86" i="25" s="1"/>
  <c r="J88" i="25" s="1"/>
  <c r="O78" i="25"/>
  <c r="P78" i="25"/>
  <c r="N157" i="25"/>
  <c r="K6" i="25"/>
  <c r="K67" i="33" l="1"/>
  <c r="Q66" i="33"/>
  <c r="J86" i="33"/>
  <c r="C64" i="33"/>
  <c r="S64" i="32"/>
  <c r="M5" i="32"/>
  <c r="J88" i="32"/>
  <c r="O64" i="32"/>
  <c r="C64" i="32" s="1"/>
  <c r="P64" i="32"/>
  <c r="K65" i="32"/>
  <c r="Q64" i="32"/>
  <c r="O64" i="25"/>
  <c r="P64" i="25"/>
  <c r="C64" i="25" s="1"/>
  <c r="I92" i="25"/>
  <c r="I6" i="25" s="1"/>
  <c r="M92" i="25"/>
  <c r="M4" i="25" s="1"/>
  <c r="L92" i="25"/>
  <c r="K4" i="25" s="1"/>
  <c r="F92" i="25"/>
  <c r="I4" i="25" s="1"/>
  <c r="M76" i="25"/>
  <c r="L76" i="25"/>
  <c r="C92" i="25"/>
  <c r="G4" i="25" s="1"/>
  <c r="G7" i="25" s="1"/>
  <c r="K65" i="25"/>
  <c r="Q64" i="25"/>
  <c r="E92" i="25"/>
  <c r="G6" i="25" s="1"/>
  <c r="J88" i="33" l="1"/>
  <c r="M64" i="33"/>
  <c r="M65" i="33" s="1"/>
  <c r="L64" i="33"/>
  <c r="L65" i="33" s="1"/>
  <c r="C65" i="33"/>
  <c r="C67" i="33" s="1"/>
  <c r="C69" i="33" s="1"/>
  <c r="C71" i="33" s="1"/>
  <c r="C73" i="33" s="1"/>
  <c r="C75" i="33" s="1"/>
  <c r="C77" i="33" s="1"/>
  <c r="C79" i="33" s="1"/>
  <c r="C81" i="33" s="1"/>
  <c r="C83" i="33" s="1"/>
  <c r="C85" i="33" s="1"/>
  <c r="Q68" i="33"/>
  <c r="L64" i="32"/>
  <c r="L65" i="32" s="1"/>
  <c r="M64" i="32"/>
  <c r="M65" i="32" s="1"/>
  <c r="K67" i="32"/>
  <c r="Q66" i="32"/>
  <c r="C65" i="32"/>
  <c r="C67" i="32" s="1"/>
  <c r="C69" i="32" s="1"/>
  <c r="C71" i="32" s="1"/>
  <c r="C73" i="32" s="1"/>
  <c r="C75" i="32" s="1"/>
  <c r="C77" i="32" s="1"/>
  <c r="C79" i="32" s="1"/>
  <c r="C81" i="32" s="1"/>
  <c r="C83" i="32" s="1"/>
  <c r="C85" i="32" s="1"/>
  <c r="L64" i="25"/>
  <c r="L65" i="25" s="1"/>
  <c r="R66" i="25" s="1"/>
  <c r="M64" i="25"/>
  <c r="M65" i="25" s="1"/>
  <c r="S66" i="25" s="1"/>
  <c r="K67" i="25"/>
  <c r="Q68" i="25" s="1"/>
  <c r="Q66" i="25"/>
  <c r="G8" i="25"/>
  <c r="M5" i="25"/>
  <c r="C65" i="25"/>
  <c r="C67" i="25" s="1"/>
  <c r="C69" i="25" s="1"/>
  <c r="C71" i="25" s="1"/>
  <c r="C73" i="25" s="1"/>
  <c r="C75" i="25" s="1"/>
  <c r="C77" i="25" s="1"/>
  <c r="C79" i="25" s="1"/>
  <c r="C81" i="25" s="1"/>
  <c r="C83" i="25" s="1"/>
  <c r="C85" i="25" s="1"/>
  <c r="C86" i="25" s="1"/>
  <c r="C88" i="25" s="1"/>
  <c r="C86" i="33" l="1"/>
  <c r="R66" i="33"/>
  <c r="S66" i="33"/>
  <c r="Q68" i="32"/>
  <c r="S66" i="32"/>
  <c r="C86" i="32"/>
  <c r="R66" i="32"/>
  <c r="D66" i="25"/>
  <c r="D66" i="33" l="1"/>
  <c r="C88" i="33"/>
  <c r="M66" i="33"/>
  <c r="M67" i="33" s="1"/>
  <c r="L66" i="33"/>
  <c r="L67" i="33" s="1"/>
  <c r="L69" i="33" s="1"/>
  <c r="L71" i="33" s="1"/>
  <c r="D67" i="33"/>
  <c r="C88" i="32"/>
  <c r="D66" i="32"/>
  <c r="M66" i="25"/>
  <c r="M67" i="25" s="1"/>
  <c r="S68" i="25" s="1"/>
  <c r="L66" i="25"/>
  <c r="L67" i="25" s="1"/>
  <c r="L69" i="25" s="1"/>
  <c r="L71" i="25" s="1"/>
  <c r="D67" i="25"/>
  <c r="S68" i="33" l="1"/>
  <c r="N68" i="33"/>
  <c r="P68" i="33"/>
  <c r="R74" i="33"/>
  <c r="L73" i="33"/>
  <c r="L66" i="32"/>
  <c r="L67" i="32" s="1"/>
  <c r="L69" i="32" s="1"/>
  <c r="L71" i="32" s="1"/>
  <c r="M66" i="32"/>
  <c r="M67" i="32" s="1"/>
  <c r="D67" i="32"/>
  <c r="P68" i="25"/>
  <c r="N68" i="25"/>
  <c r="R74" i="25"/>
  <c r="L73" i="25"/>
  <c r="D68" i="33" l="1"/>
  <c r="K68" i="33"/>
  <c r="K69" i="33" s="1"/>
  <c r="M68" i="33"/>
  <c r="M69" i="33" s="1"/>
  <c r="D69" i="33"/>
  <c r="D71" i="33" s="1"/>
  <c r="D73" i="33" s="1"/>
  <c r="D75" i="33" s="1"/>
  <c r="D77" i="33" s="1"/>
  <c r="D79" i="33" s="1"/>
  <c r="D81" i="33" s="1"/>
  <c r="D83" i="33" s="1"/>
  <c r="D85" i="33" s="1"/>
  <c r="S68" i="32"/>
  <c r="P68" i="32"/>
  <c r="N68" i="32"/>
  <c r="R74" i="32"/>
  <c r="L73" i="32"/>
  <c r="D68" i="25"/>
  <c r="D86" i="33" l="1"/>
  <c r="Q70" i="33"/>
  <c r="S70" i="33"/>
  <c r="D68" i="32"/>
  <c r="M68" i="25"/>
  <c r="M69" i="25" s="1"/>
  <c r="S70" i="25" s="1"/>
  <c r="D69" i="25"/>
  <c r="D71" i="25" s="1"/>
  <c r="D73" i="25" s="1"/>
  <c r="D75" i="25" s="1"/>
  <c r="D77" i="25" s="1"/>
  <c r="D79" i="25" s="1"/>
  <c r="D81" i="25" s="1"/>
  <c r="D83" i="25" s="1"/>
  <c r="D85" i="25" s="1"/>
  <c r="D86" i="25" s="1"/>
  <c r="D88" i="25" s="1"/>
  <c r="K68" i="25"/>
  <c r="K69" i="25" s="1"/>
  <c r="Q70" i="25" s="1"/>
  <c r="E70" i="33" l="1"/>
  <c r="D88" i="33"/>
  <c r="K70" i="33"/>
  <c r="K71" i="33" s="1"/>
  <c r="M70" i="33"/>
  <c r="M71" i="33" s="1"/>
  <c r="E71" i="33"/>
  <c r="M68" i="32"/>
  <c r="M69" i="32" s="1"/>
  <c r="K68" i="32"/>
  <c r="K69" i="32" s="1"/>
  <c r="D69" i="32"/>
  <c r="D71" i="32" s="1"/>
  <c r="D73" i="32" s="1"/>
  <c r="D75" i="32" s="1"/>
  <c r="D77" i="32" s="1"/>
  <c r="D79" i="32" s="1"/>
  <c r="D81" i="32" s="1"/>
  <c r="D83" i="32" s="1"/>
  <c r="D85" i="32" s="1"/>
  <c r="E70" i="25"/>
  <c r="O74" i="33" l="1"/>
  <c r="P74" i="33"/>
  <c r="E73" i="33"/>
  <c r="F72" i="33"/>
  <c r="S74" i="33"/>
  <c r="M73" i="33"/>
  <c r="Q70" i="32"/>
  <c r="D86" i="32"/>
  <c r="S70" i="32"/>
  <c r="E70" i="32" s="1"/>
  <c r="K70" i="25"/>
  <c r="K71" i="25" s="1"/>
  <c r="F72" i="25" s="1"/>
  <c r="M70" i="25"/>
  <c r="M71" i="25" s="1"/>
  <c r="E71" i="25"/>
  <c r="K72" i="33" l="1"/>
  <c r="K73" i="33" s="1"/>
  <c r="K75" i="33" s="1"/>
  <c r="K77" i="33" s="1"/>
  <c r="K79" i="33" s="1"/>
  <c r="K81" i="33" s="1"/>
  <c r="K83" i="33" s="1"/>
  <c r="K85" i="33" s="1"/>
  <c r="F73" i="33"/>
  <c r="F75" i="33" s="1"/>
  <c r="E74" i="33"/>
  <c r="E75" i="33" s="1"/>
  <c r="E77" i="33" s="1"/>
  <c r="E79" i="33" s="1"/>
  <c r="E81" i="33" s="1"/>
  <c r="E83" i="33" s="1"/>
  <c r="E85" i="33" s="1"/>
  <c r="M70" i="32"/>
  <c r="M71" i="32" s="1"/>
  <c r="K70" i="32"/>
  <c r="K71" i="32" s="1"/>
  <c r="E71" i="32"/>
  <c r="D88" i="32"/>
  <c r="E73" i="25"/>
  <c r="P74" i="25"/>
  <c r="O74" i="25"/>
  <c r="F73" i="25"/>
  <c r="F75" i="25" s="1"/>
  <c r="K72" i="25"/>
  <c r="K73" i="25" s="1"/>
  <c r="K75" i="25" s="1"/>
  <c r="K77" i="25" s="1"/>
  <c r="K79" i="25" s="1"/>
  <c r="K81" i="25" s="1"/>
  <c r="K83" i="25" s="1"/>
  <c r="K85" i="25" s="1"/>
  <c r="K86" i="25" s="1"/>
  <c r="K88" i="25" s="1"/>
  <c r="S74" i="25"/>
  <c r="M73" i="25"/>
  <c r="K86" i="33" l="1"/>
  <c r="K88" i="33" s="1"/>
  <c r="E86" i="33"/>
  <c r="L74" i="33"/>
  <c r="L75" i="33" s="1"/>
  <c r="M74" i="33"/>
  <c r="M75" i="33" s="1"/>
  <c r="F77" i="33"/>
  <c r="F79" i="33" s="1"/>
  <c r="W76" i="33"/>
  <c r="V76" i="33"/>
  <c r="F72" i="32"/>
  <c r="P74" i="32"/>
  <c r="E73" i="32"/>
  <c r="O74" i="32"/>
  <c r="S74" i="32"/>
  <c r="M73" i="32"/>
  <c r="E74" i="25"/>
  <c r="W76" i="25"/>
  <c r="F77" i="25"/>
  <c r="F79" i="25" s="1"/>
  <c r="V76" i="25"/>
  <c r="M77" i="33" l="1"/>
  <c r="S75" i="33"/>
  <c r="S76" i="33" s="1"/>
  <c r="E88" i="33"/>
  <c r="V88" i="33"/>
  <c r="P76" i="33"/>
  <c r="O76" i="33"/>
  <c r="P80" i="33"/>
  <c r="O80" i="33"/>
  <c r="R75" i="33"/>
  <c r="R76" i="33" s="1"/>
  <c r="L77" i="33"/>
  <c r="K72" i="32"/>
  <c r="K73" i="32" s="1"/>
  <c r="K75" i="32" s="1"/>
  <c r="K77" i="32" s="1"/>
  <c r="K79" i="32" s="1"/>
  <c r="K81" i="32" s="1"/>
  <c r="K83" i="32" s="1"/>
  <c r="K85" i="32" s="1"/>
  <c r="F73" i="32"/>
  <c r="F75" i="32" s="1"/>
  <c r="E74" i="32"/>
  <c r="P80" i="25"/>
  <c r="O80" i="25"/>
  <c r="M74" i="25"/>
  <c r="M75" i="25" s="1"/>
  <c r="L74" i="25"/>
  <c r="L75" i="25" s="1"/>
  <c r="V88" i="25"/>
  <c r="P76" i="25"/>
  <c r="O76" i="25"/>
  <c r="E75" i="25"/>
  <c r="E77" i="25" s="1"/>
  <c r="E79" i="25" s="1"/>
  <c r="E81" i="25" s="1"/>
  <c r="E83" i="25" s="1"/>
  <c r="E85" i="25" s="1"/>
  <c r="E86" i="25" s="1"/>
  <c r="E88" i="25" s="1"/>
  <c r="R77" i="33" l="1"/>
  <c r="R78" i="33" s="1"/>
  <c r="S77" i="33"/>
  <c r="S78" i="33" s="1"/>
  <c r="K86" i="32"/>
  <c r="K88" i="32" s="1"/>
  <c r="M74" i="32"/>
  <c r="M75" i="32" s="1"/>
  <c r="L74" i="32"/>
  <c r="L75" i="32" s="1"/>
  <c r="F77" i="32"/>
  <c r="F79" i="32" s="1"/>
  <c r="V76" i="32"/>
  <c r="W76" i="32"/>
  <c r="E75" i="32"/>
  <c r="E77" i="32" s="1"/>
  <c r="E79" i="32" s="1"/>
  <c r="E81" i="32" s="1"/>
  <c r="E83" i="32" s="1"/>
  <c r="E85" i="32" s="1"/>
  <c r="R75" i="25"/>
  <c r="R76" i="25" s="1"/>
  <c r="L77" i="25"/>
  <c r="R77" i="25" s="1"/>
  <c r="R78" i="25" s="1"/>
  <c r="M77" i="25"/>
  <c r="S77" i="25" s="1"/>
  <c r="S78" i="25" s="1"/>
  <c r="S75" i="25"/>
  <c r="S76" i="25" s="1"/>
  <c r="H78" i="33" l="1"/>
  <c r="M78" i="33"/>
  <c r="M79" i="33" s="1"/>
  <c r="L78" i="33"/>
  <c r="L79" i="33" s="1"/>
  <c r="H79" i="33"/>
  <c r="H81" i="33" s="1"/>
  <c r="H83" i="33" s="1"/>
  <c r="H85" i="33" s="1"/>
  <c r="E86" i="32"/>
  <c r="O76" i="32"/>
  <c r="V88" i="32"/>
  <c r="P76" i="32"/>
  <c r="L77" i="32"/>
  <c r="R75" i="32"/>
  <c r="R76" i="32" s="1"/>
  <c r="P80" i="32"/>
  <c r="O80" i="32"/>
  <c r="M77" i="32"/>
  <c r="S75" i="32"/>
  <c r="S76" i="32" s="1"/>
  <c r="H78" i="25"/>
  <c r="R80" i="33" l="1"/>
  <c r="H86" i="33"/>
  <c r="S80" i="33"/>
  <c r="F80" i="33" s="1"/>
  <c r="S77" i="32"/>
  <c r="S78" i="32" s="1"/>
  <c r="R77" i="32"/>
  <c r="R78" i="32" s="1"/>
  <c r="E88" i="32"/>
  <c r="L78" i="25"/>
  <c r="L79" i="25" s="1"/>
  <c r="R80" i="25" s="1"/>
  <c r="H79" i="25"/>
  <c r="H81" i="25" s="1"/>
  <c r="H83" i="25" s="1"/>
  <c r="H85" i="25" s="1"/>
  <c r="H86" i="25" s="1"/>
  <c r="H88" i="25" s="1"/>
  <c r="M78" i="25"/>
  <c r="M79" i="25" s="1"/>
  <c r="S80" i="25" s="1"/>
  <c r="F80" i="25" s="1"/>
  <c r="M80" i="25"/>
  <c r="M81" i="25" s="1"/>
  <c r="L80" i="25"/>
  <c r="L81" i="25" s="1"/>
  <c r="F81" i="25"/>
  <c r="F83" i="25" s="1"/>
  <c r="F85" i="25" s="1"/>
  <c r="H78" i="32" l="1"/>
  <c r="H88" i="33"/>
  <c r="M80" i="33"/>
  <c r="M81" i="33" s="1"/>
  <c r="L80" i="33"/>
  <c r="L81" i="33" s="1"/>
  <c r="F81" i="33"/>
  <c r="F83" i="33" s="1"/>
  <c r="F85" i="33" s="1"/>
  <c r="L78" i="32"/>
  <c r="L79" i="32" s="1"/>
  <c r="M78" i="32"/>
  <c r="M79" i="32" s="1"/>
  <c r="H79" i="32"/>
  <c r="H81" i="32" s="1"/>
  <c r="H83" i="32" s="1"/>
  <c r="H85" i="32" s="1"/>
  <c r="R81" i="25"/>
  <c r="R82" i="25" s="1"/>
  <c r="F86" i="25"/>
  <c r="S81" i="25"/>
  <c r="S82" i="25" s="1"/>
  <c r="R81" i="33" l="1"/>
  <c r="R82" i="33" s="1"/>
  <c r="F86" i="33"/>
  <c r="S81" i="33"/>
  <c r="S82" i="33" s="1"/>
  <c r="H86" i="32"/>
  <c r="R80" i="32"/>
  <c r="S80" i="32"/>
  <c r="F80" i="32" s="1"/>
  <c r="I82" i="25"/>
  <c r="M82" i="25"/>
  <c r="M83" i="25" s="1"/>
  <c r="L82" i="25"/>
  <c r="L83" i="25" s="1"/>
  <c r="I83" i="25"/>
  <c r="I85" i="25" s="1"/>
  <c r="F88" i="25"/>
  <c r="I82" i="33" l="1"/>
  <c r="M82" i="33"/>
  <c r="M83" i="33" s="1"/>
  <c r="L82" i="33"/>
  <c r="L83" i="33" s="1"/>
  <c r="I83" i="33"/>
  <c r="I85" i="33" s="1"/>
  <c r="F88" i="33"/>
  <c r="M80" i="32"/>
  <c r="M81" i="32" s="1"/>
  <c r="L80" i="32"/>
  <c r="L81" i="32" s="1"/>
  <c r="F81" i="32"/>
  <c r="F83" i="32" s="1"/>
  <c r="F85" i="32" s="1"/>
  <c r="H88" i="32"/>
  <c r="R83" i="25"/>
  <c r="R84" i="25" s="1"/>
  <c r="L85" i="25"/>
  <c r="I86" i="25"/>
  <c r="S83" i="25"/>
  <c r="S84" i="25" s="1"/>
  <c r="M85" i="25"/>
  <c r="L85" i="33" l="1"/>
  <c r="R83" i="33"/>
  <c r="R84" i="33" s="1"/>
  <c r="I86" i="33"/>
  <c r="M85" i="33"/>
  <c r="S83" i="33"/>
  <c r="S84" i="33" s="1"/>
  <c r="R81" i="32"/>
  <c r="R82" i="32" s="1"/>
  <c r="I82" i="32" s="1"/>
  <c r="F86" i="32"/>
  <c r="S81" i="32"/>
  <c r="S82" i="32" s="1"/>
  <c r="I88" i="25"/>
  <c r="M86" i="25"/>
  <c r="L86" i="25"/>
  <c r="I95" i="25" s="1"/>
  <c r="I88" i="33" l="1"/>
  <c r="M86" i="33"/>
  <c r="L86" i="33"/>
  <c r="M82" i="32"/>
  <c r="M83" i="32" s="1"/>
  <c r="L82" i="32"/>
  <c r="L83" i="32" s="1"/>
  <c r="I83" i="32"/>
  <c r="I85" i="32" s="1"/>
  <c r="F88" i="32"/>
  <c r="M88" i="25"/>
  <c r="L95" i="25"/>
  <c r="J95" i="25"/>
  <c r="D95" i="25"/>
  <c r="P95" i="25"/>
  <c r="O95" i="25"/>
  <c r="C95" i="25"/>
  <c r="K95" i="25"/>
  <c r="L88" i="25"/>
  <c r="H95" i="25"/>
  <c r="E95" i="25"/>
  <c r="G95" i="25"/>
  <c r="M95" i="25"/>
  <c r="F95" i="25"/>
  <c r="B88" i="25"/>
  <c r="I89" i="25" s="1"/>
  <c r="I12" i="25" s="1"/>
  <c r="H95" i="33" l="1"/>
  <c r="M88" i="33"/>
  <c r="L95" i="33"/>
  <c r="G95" i="33"/>
  <c r="J95" i="33"/>
  <c r="M95" i="33"/>
  <c r="E95" i="33"/>
  <c r="O95" i="33"/>
  <c r="I89" i="33"/>
  <c r="I12" i="33" s="1"/>
  <c r="B88" i="33"/>
  <c r="K95" i="33"/>
  <c r="L88" i="33"/>
  <c r="L89" i="33" s="1"/>
  <c r="K10" i="33" s="1"/>
  <c r="P95" i="33"/>
  <c r="F95" i="33"/>
  <c r="D95" i="33"/>
  <c r="C95" i="33"/>
  <c r="I95" i="33"/>
  <c r="R83" i="32"/>
  <c r="R84" i="32" s="1"/>
  <c r="L85" i="32"/>
  <c r="I86" i="32"/>
  <c r="M85" i="32"/>
  <c r="S83" i="32"/>
  <c r="S84" i="32" s="1"/>
  <c r="G90" i="25"/>
  <c r="J17" i="25" s="1"/>
  <c r="G89" i="25"/>
  <c r="I11" i="25" s="1"/>
  <c r="M19" i="25"/>
  <c r="J90" i="25"/>
  <c r="M17" i="25" s="1"/>
  <c r="J89" i="25"/>
  <c r="I13" i="25" s="1"/>
  <c r="C90" i="25"/>
  <c r="F17" i="25" s="1"/>
  <c r="C89" i="25"/>
  <c r="G10" i="25" s="1"/>
  <c r="D90" i="25"/>
  <c r="G17" i="25" s="1"/>
  <c r="D89" i="25"/>
  <c r="G11" i="25" s="1"/>
  <c r="K90" i="25"/>
  <c r="L19" i="25" s="1"/>
  <c r="E90" i="25"/>
  <c r="H17" i="25" s="1"/>
  <c r="K89" i="25"/>
  <c r="K11" i="25" s="1"/>
  <c r="E89" i="25"/>
  <c r="G12" i="25" s="1"/>
  <c r="H90" i="25"/>
  <c r="K17" i="25" s="1"/>
  <c r="H89" i="25"/>
  <c r="I14" i="25" s="1"/>
  <c r="F90" i="25"/>
  <c r="I17" i="25" s="1"/>
  <c r="F89" i="25"/>
  <c r="I10" i="25" s="1"/>
  <c r="G14" i="25" s="1"/>
  <c r="I90" i="25"/>
  <c r="L17" i="25" s="1"/>
  <c r="M90" i="25"/>
  <c r="G19" i="25" s="1"/>
  <c r="L90" i="25"/>
  <c r="F19" i="25" s="1"/>
  <c r="L89" i="25"/>
  <c r="K10" i="25" s="1"/>
  <c r="M89" i="25"/>
  <c r="M10" i="25" s="1"/>
  <c r="G89" i="33" l="1"/>
  <c r="I11" i="33" s="1"/>
  <c r="M19" i="33"/>
  <c r="G90" i="33"/>
  <c r="J17" i="33" s="1"/>
  <c r="J90" i="33"/>
  <c r="M17" i="33" s="1"/>
  <c r="C90" i="33"/>
  <c r="F17" i="33" s="1"/>
  <c r="J89" i="33"/>
  <c r="I13" i="33" s="1"/>
  <c r="C89" i="33"/>
  <c r="G10" i="33" s="1"/>
  <c r="D90" i="33"/>
  <c r="G17" i="33" s="1"/>
  <c r="D89" i="33"/>
  <c r="G11" i="33" s="1"/>
  <c r="K90" i="33"/>
  <c r="L19" i="33" s="1"/>
  <c r="E90" i="33"/>
  <c r="H17" i="33" s="1"/>
  <c r="K89" i="33"/>
  <c r="K11" i="33" s="1"/>
  <c r="E89" i="33"/>
  <c r="G12" i="33" s="1"/>
  <c r="H90" i="33"/>
  <c r="K17" i="33" s="1"/>
  <c r="H89" i="33"/>
  <c r="I14" i="33" s="1"/>
  <c r="F90" i="33"/>
  <c r="I17" i="33" s="1"/>
  <c r="F89" i="33"/>
  <c r="I10" i="33" s="1"/>
  <c r="G14" i="33" s="1"/>
  <c r="I90" i="33"/>
  <c r="L17" i="33" s="1"/>
  <c r="M90" i="33"/>
  <c r="G19" i="33" s="1"/>
  <c r="L90" i="33"/>
  <c r="F19" i="33" s="1"/>
  <c r="M89" i="33"/>
  <c r="M10" i="33" s="1"/>
  <c r="M11" i="33" s="1"/>
  <c r="L86" i="32"/>
  <c r="I88" i="32"/>
  <c r="M86" i="32"/>
  <c r="M11" i="25"/>
  <c r="G13" i="25"/>
  <c r="G13" i="33" l="1"/>
  <c r="M88" i="32"/>
  <c r="L95" i="32"/>
  <c r="G95" i="32"/>
  <c r="J95" i="32"/>
  <c r="O95" i="32"/>
  <c r="H95" i="32"/>
  <c r="P95" i="32"/>
  <c r="B88" i="32"/>
  <c r="I89" i="32" s="1"/>
  <c r="I12" i="32" s="1"/>
  <c r="K95" i="32"/>
  <c r="L88" i="32"/>
  <c r="L89" i="32" s="1"/>
  <c r="K10" i="32" s="1"/>
  <c r="E95" i="32"/>
  <c r="F95" i="32"/>
  <c r="M95" i="32"/>
  <c r="C95" i="32"/>
  <c r="D95" i="32"/>
  <c r="I95" i="32"/>
  <c r="G89" i="32" l="1"/>
  <c r="I11" i="32" s="1"/>
  <c r="M19" i="32"/>
  <c r="J90" i="32"/>
  <c r="M17" i="32" s="1"/>
  <c r="G90" i="32"/>
  <c r="J17" i="32" s="1"/>
  <c r="J89" i="32"/>
  <c r="I13" i="32" s="1"/>
  <c r="C90" i="32"/>
  <c r="F17" i="32" s="1"/>
  <c r="C89" i="32"/>
  <c r="G10" i="32" s="1"/>
  <c r="D90" i="32"/>
  <c r="G17" i="32" s="1"/>
  <c r="D89" i="32"/>
  <c r="G11" i="32" s="1"/>
  <c r="K90" i="32"/>
  <c r="L19" i="32" s="1"/>
  <c r="E90" i="32"/>
  <c r="H17" i="32" s="1"/>
  <c r="K89" i="32"/>
  <c r="K11" i="32" s="1"/>
  <c r="E89" i="32"/>
  <c r="G12" i="32" s="1"/>
  <c r="H90" i="32"/>
  <c r="K17" i="32" s="1"/>
  <c r="H89" i="32"/>
  <c r="I14" i="32" s="1"/>
  <c r="F90" i="32"/>
  <c r="I17" i="32" s="1"/>
  <c r="F89" i="32"/>
  <c r="I10" i="32" s="1"/>
  <c r="G14" i="32" s="1"/>
  <c r="I90" i="32"/>
  <c r="L17" i="32" s="1"/>
  <c r="L90" i="32"/>
  <c r="F19" i="32" s="1"/>
  <c r="M90" i="32"/>
  <c r="G19" i="32" s="1"/>
  <c r="M89" i="32"/>
  <c r="M10" i="32" s="1"/>
  <c r="M11" i="32" s="1"/>
  <c r="G13" i="32" l="1"/>
</calcChain>
</file>

<file path=xl/sharedStrings.xml><?xml version="1.0" encoding="utf-8"?>
<sst xmlns="http://schemas.openxmlformats.org/spreadsheetml/2006/main" count="850" uniqueCount="160">
  <si>
    <t>Mineral</t>
  </si>
  <si>
    <t>Mol Wt</t>
  </si>
  <si>
    <t>K2O</t>
  </si>
  <si>
    <t>Na2O</t>
  </si>
  <si>
    <t>Li2O</t>
  </si>
  <si>
    <t>CaO</t>
  </si>
  <si>
    <t>MgO</t>
  </si>
  <si>
    <t>SrO</t>
  </si>
  <si>
    <t>ZnO</t>
  </si>
  <si>
    <t>BaO</t>
  </si>
  <si>
    <t>Al2O3</t>
  </si>
  <si>
    <t>Fe2O3</t>
  </si>
  <si>
    <t>B2O3</t>
  </si>
  <si>
    <t>SiO2</t>
  </si>
  <si>
    <t>TiO2</t>
  </si>
  <si>
    <t>CO2</t>
  </si>
  <si>
    <t>H2O</t>
  </si>
  <si>
    <t>Source</t>
  </si>
  <si>
    <t>Ferro3134</t>
  </si>
  <si>
    <t>Coleman</t>
  </si>
  <si>
    <t>MgCarb</t>
  </si>
  <si>
    <t>SrCarb</t>
  </si>
  <si>
    <t>BaCarb</t>
  </si>
  <si>
    <t>Custer</t>
  </si>
  <si>
    <t>EPK</t>
  </si>
  <si>
    <t>Flint</t>
  </si>
  <si>
    <t>Goldart</t>
  </si>
  <si>
    <t>Kaolin</t>
  </si>
  <si>
    <t>Kingman</t>
  </si>
  <si>
    <t>LiCarb</t>
  </si>
  <si>
    <t>Na2CO3</t>
  </si>
  <si>
    <t>OldHick</t>
  </si>
  <si>
    <t>OM4</t>
  </si>
  <si>
    <t>PlVit</t>
  </si>
  <si>
    <t>Redart</t>
  </si>
  <si>
    <t>VolAsh</t>
  </si>
  <si>
    <t>Whiting</t>
  </si>
  <si>
    <t>KFeld</t>
  </si>
  <si>
    <t>NaFeld</t>
  </si>
  <si>
    <t>Percent Analysis of Ceramic Glaze Ingredients</t>
  </si>
  <si>
    <t>Tot %</t>
  </si>
  <si>
    <t>Batch</t>
  </si>
  <si>
    <t>Percent</t>
  </si>
  <si>
    <t>MW</t>
  </si>
  <si>
    <t>%</t>
  </si>
  <si>
    <t>RO</t>
  </si>
  <si>
    <t>Weight Totals</t>
  </si>
  <si>
    <t>Mol Weights</t>
  </si>
  <si>
    <t>Gram Equivalents</t>
  </si>
  <si>
    <t>Total Flux Equivs</t>
  </si>
  <si>
    <t>Formula</t>
  </si>
  <si>
    <t>Rutile</t>
  </si>
  <si>
    <t>BoneAsh</t>
  </si>
  <si>
    <t>Digitalfire</t>
  </si>
  <si>
    <t>Ferro3110</t>
  </si>
  <si>
    <t>LiSilicate</t>
  </si>
  <si>
    <t>MP°C</t>
  </si>
  <si>
    <t>Fit 100%</t>
  </si>
  <si>
    <t>#</t>
  </si>
  <si>
    <t>NEEDED</t>
  </si>
  <si>
    <t>AVAILABLE</t>
  </si>
  <si>
    <t>Start</t>
  </si>
  <si>
    <t>K2CO3</t>
  </si>
  <si>
    <t>Recipe</t>
  </si>
  <si>
    <t>Oxides Excess to the Eutectics</t>
  </si>
  <si>
    <t>EuCal</t>
  </si>
  <si>
    <t>Cornwall</t>
  </si>
  <si>
    <t>G-200</t>
  </si>
  <si>
    <t>KonaF-4</t>
  </si>
  <si>
    <t>NephelineSyenite</t>
  </si>
  <si>
    <t>Spodumene</t>
  </si>
  <si>
    <t>Petalite</t>
  </si>
  <si>
    <t>Corn Old</t>
  </si>
  <si>
    <t>CeramicArtsDaily</t>
  </si>
  <si>
    <t>Grolleg</t>
  </si>
  <si>
    <t>The Eutectics</t>
  </si>
  <si>
    <t>CaO/ZnO</t>
  </si>
  <si>
    <t>ZnO/CaO</t>
  </si>
  <si>
    <t>Formula - Eutectics Only</t>
  </si>
  <si>
    <t>Recipe to Formula</t>
  </si>
  <si>
    <t>Ferro3124</t>
  </si>
  <si>
    <t>Formula - Standard Molecular Unity</t>
  </si>
  <si>
    <t>Bentonite</t>
  </si>
  <si>
    <t>Dolomite</t>
  </si>
  <si>
    <t>Gerstley Borate</t>
  </si>
  <si>
    <t>Westex Talc</t>
  </si>
  <si>
    <t>Wollastonite</t>
  </si>
  <si>
    <t>Alumina Hydrate</t>
  </si>
  <si>
    <t>Excess</t>
  </si>
  <si>
    <t>The Eutectics by Weight</t>
  </si>
  <si>
    <t>WHAT'S LEFT AFTER EACH EUTECTIC - BY WEIGHT</t>
  </si>
  <si>
    <t>Used</t>
  </si>
  <si>
    <t>Remaining</t>
  </si>
  <si>
    <t>ratio</t>
  </si>
  <si>
    <t>available</t>
  </si>
  <si>
    <t>eutectic</t>
  </si>
  <si>
    <t>CaO/</t>
  </si>
  <si>
    <t>if not limited by</t>
  </si>
  <si>
    <t>Al2O3 or SiO2</t>
  </si>
  <si>
    <t>Ratios</t>
  </si>
  <si>
    <t>Possible</t>
  </si>
  <si>
    <t>Used in Eutectics</t>
  </si>
  <si>
    <t>UMF</t>
  </si>
  <si>
    <t>Superpax</t>
  </si>
  <si>
    <t>CoCarb</t>
  </si>
  <si>
    <t>ChromeOxide</t>
  </si>
  <si>
    <t>TinOxide</t>
  </si>
  <si>
    <t>Zircopax</t>
  </si>
  <si>
    <t>CuCarb</t>
  </si>
  <si>
    <t>Cu2O</t>
  </si>
  <si>
    <t>Ferro3195</t>
  </si>
  <si>
    <t>DigitalFire</t>
  </si>
  <si>
    <t>Size</t>
  </si>
  <si>
    <r>
      <t>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</si>
  <si>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Al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3</t>
    </r>
  </si>
  <si>
    <r>
      <t>SiO</t>
    </r>
    <r>
      <rPr>
        <b/>
        <vertAlign val="subscript"/>
        <sz val="11"/>
        <rFont val="Arial"/>
        <family val="2"/>
      </rPr>
      <t>2</t>
    </r>
  </si>
  <si>
    <r>
      <t>Na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</si>
  <si>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B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3</t>
    </r>
  </si>
  <si>
    <r>
      <t>SiO2/Al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3</t>
    </r>
  </si>
  <si>
    <r>
      <t>Li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</si>
  <si>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Fe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3</t>
    </r>
  </si>
  <si>
    <r>
      <t>R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</si>
  <si>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>Borax</t>
  </si>
  <si>
    <t>CoOxide</t>
  </si>
  <si>
    <t>MnO2</t>
  </si>
  <si>
    <t>Leucite</t>
  </si>
  <si>
    <t>MnCarb</t>
  </si>
  <si>
    <t>CMC Gum</t>
  </si>
  <si>
    <t>Veegum</t>
  </si>
  <si>
    <t>Minspar 200</t>
  </si>
  <si>
    <t>Gillespie Borate</t>
  </si>
  <si>
    <t>TOTAL</t>
  </si>
  <si>
    <t>Fired</t>
  </si>
  <si>
    <t>Wt %</t>
  </si>
  <si>
    <t>|</t>
  </si>
  <si>
    <t>Weight %</t>
  </si>
  <si>
    <t>P2O5</t>
  </si>
  <si>
    <t>NiCarb</t>
  </si>
  <si>
    <t>Ultrox</t>
  </si>
  <si>
    <t>Macaloid</t>
  </si>
  <si>
    <t>Bentone MA</t>
  </si>
  <si>
    <t>Silica</t>
  </si>
  <si>
    <t>Albany Slip</t>
  </si>
  <si>
    <t>Barnard Slip</t>
  </si>
  <si>
    <t>Ron Roy</t>
  </si>
  <si>
    <t>Custer - Old</t>
  </si>
  <si>
    <t>Pacer</t>
  </si>
  <si>
    <t>EPK - Calcined</t>
  </si>
  <si>
    <t>G200 HP</t>
  </si>
  <si>
    <t>Gerstley Borate - 1999</t>
  </si>
  <si>
    <t>GlazeMaster</t>
  </si>
  <si>
    <t>Mahavir Feldspar</t>
  </si>
  <si>
    <t>GlazeMaster (Gwalia)</t>
  </si>
  <si>
    <t>Talc - NYTAL</t>
  </si>
  <si>
    <t>Talc - Texas</t>
  </si>
  <si>
    <t>DigitalFire (Amtalc C98)</t>
  </si>
  <si>
    <t>Yellow Ochre</t>
  </si>
  <si>
    <t>This page updated courtesy of Dick White</t>
  </si>
  <si>
    <t>version 1.91</t>
  </si>
  <si>
    <t>%Analysis page updated by Dick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</si>
</sst>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\ ;\(&quot;$&quot;#,##0\)"/>
    <numFmt numFmtId="165" formatCode="0.0000"/>
    <numFmt numFmtId="166" formatCode="0.000"/>
    <numFmt numFmtId="167" formatCode="0.000%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3" fontId="7" fillId="2" borderId="0" applyFont="0" applyFill="0" applyBorder="0" applyAlignment="0" applyProtection="0"/>
    <xf numFmtId="164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2" borderId="0" applyFont="0" applyFill="0" applyBorder="0" applyAlignment="0" applyProtection="0"/>
  </cellStyleXfs>
  <cellXfs count="225">
    <xf numFmtId="0" fontId="0" fillId="2" borderId="0" xfId="0" applyFill="1"/>
    <xf numFmtId="2" fontId="0" fillId="2" borderId="0" xfId="0" applyNumberFormat="1" applyFill="1"/>
    <xf numFmtId="2" fontId="5" fillId="2" borderId="0" xfId="0" applyNumberFormat="1" applyFont="1" applyFill="1"/>
    <xf numFmtId="2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left"/>
    </xf>
    <xf numFmtId="2" fontId="6" fillId="2" borderId="0" xfId="0" applyNumberFormat="1" applyFont="1" applyFill="1"/>
    <xf numFmtId="0" fontId="0" fillId="2" borderId="0" xfId="0" applyNumberFormat="1" applyFill="1"/>
    <xf numFmtId="10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6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166" fontId="6" fillId="0" borderId="0" xfId="0" quotePrefix="1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11" fillId="3" borderId="0" xfId="0" applyFont="1" applyFill="1" applyBorder="1"/>
    <xf numFmtId="0" fontId="6" fillId="0" borderId="0" xfId="0" applyFont="1" applyFill="1" applyBorder="1" applyProtection="1">
      <protection locked="0"/>
    </xf>
    <xf numFmtId="2" fontId="6" fillId="2" borderId="0" xfId="0" applyNumberFormat="1" applyFont="1" applyFill="1" applyAlignment="1">
      <alignment horizontal="left"/>
    </xf>
    <xf numFmtId="2" fontId="12" fillId="4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/>
    <xf numFmtId="0" fontId="13" fillId="3" borderId="0" xfId="0" applyFont="1" applyFill="1" applyBorder="1"/>
    <xf numFmtId="0" fontId="10" fillId="3" borderId="0" xfId="0" applyFont="1" applyFill="1" applyBorder="1" applyAlignment="1">
      <alignment horizontal="center"/>
    </xf>
    <xf numFmtId="2" fontId="6" fillId="0" borderId="0" xfId="0" applyNumberFormat="1" applyFont="1" applyFill="1" applyProtection="1"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locked="0" hidden="1"/>
    </xf>
    <xf numFmtId="0" fontId="6" fillId="0" borderId="0" xfId="0" applyFont="1" applyFill="1" applyAlignment="1" applyProtection="1">
      <alignment horizontal="center"/>
      <protection locked="0" hidden="1"/>
    </xf>
    <xf numFmtId="10" fontId="6" fillId="0" borderId="0" xfId="0" applyNumberFormat="1" applyFont="1" applyFill="1" applyBorder="1" applyAlignment="1" applyProtection="1">
      <alignment horizontal="center"/>
      <protection locked="0"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6" fontId="6" fillId="0" borderId="0" xfId="0" applyNumberFormat="1" applyFont="1" applyFill="1" applyBorder="1" applyAlignment="1" applyProtection="1">
      <alignment horizontal="left"/>
      <protection hidden="1"/>
    </xf>
    <xf numFmtId="166" fontId="6" fillId="0" borderId="0" xfId="0" applyNumberFormat="1" applyFont="1" applyFill="1" applyProtection="1">
      <protection hidden="1"/>
    </xf>
    <xf numFmtId="0" fontId="6" fillId="0" borderId="0" xfId="0" applyNumberFormat="1" applyFont="1" applyFill="1" applyProtection="1">
      <protection hidden="1"/>
    </xf>
    <xf numFmtId="10" fontId="6" fillId="0" borderId="0" xfId="0" applyNumberFormat="1" applyFont="1" applyFill="1" applyBorder="1" applyAlignment="1" applyProtection="1">
      <alignment horizontal="center"/>
      <protection hidden="1"/>
    </xf>
    <xf numFmtId="166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166" fontId="6" fillId="0" borderId="0" xfId="0" applyNumberFormat="1" applyFont="1" applyFill="1" applyBorder="1" applyProtection="1">
      <protection hidden="1"/>
    </xf>
    <xf numFmtId="0" fontId="6" fillId="0" borderId="0" xfId="0" quotePrefix="1" applyFont="1" applyFill="1" applyBorder="1" applyAlignment="1" applyProtection="1">
      <alignment horizontal="center"/>
      <protection hidden="1"/>
    </xf>
    <xf numFmtId="165" fontId="6" fillId="0" borderId="0" xfId="0" applyNumberFormat="1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Protection="1">
      <protection hidden="1"/>
    </xf>
    <xf numFmtId="0" fontId="10" fillId="0" borderId="0" xfId="0" applyFont="1" applyFill="1"/>
    <xf numFmtId="2" fontId="6" fillId="0" borderId="0" xfId="0" applyNumberFormat="1" applyFont="1" applyFill="1" applyAlignment="1" applyProtection="1">
      <alignment horizontal="left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2" fontId="6" fillId="0" borderId="2" xfId="0" applyNumberFormat="1" applyFont="1" applyFill="1" applyBorder="1" applyProtection="1">
      <protection hidden="1"/>
    </xf>
    <xf numFmtId="2" fontId="6" fillId="0" borderId="0" xfId="0" applyNumberFormat="1" applyFont="1" applyFill="1" applyBorder="1" applyProtection="1"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3" xfId="0" applyNumberFormat="1" applyFont="1" applyFill="1" applyBorder="1" applyAlignment="1" applyProtection="1">
      <alignment horizontal="left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1" xfId="0" quotePrefix="1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6" fillId="5" borderId="0" xfId="0" applyNumberFormat="1" applyFont="1" applyFill="1" applyProtection="1">
      <protection hidden="1"/>
    </xf>
    <xf numFmtId="2" fontId="6" fillId="6" borderId="0" xfId="0" applyNumberFormat="1" applyFont="1" applyFill="1" applyAlignment="1" applyProtection="1">
      <alignment horizontal="center"/>
      <protection hidden="1"/>
    </xf>
    <xf numFmtId="2" fontId="6" fillId="5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 hidden="1"/>
    </xf>
    <xf numFmtId="0" fontId="16" fillId="6" borderId="4" xfId="0" applyFont="1" applyFill="1" applyBorder="1" applyAlignment="1" applyProtection="1">
      <alignment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2" fontId="16" fillId="6" borderId="5" xfId="0" applyNumberFormat="1" applyFont="1" applyFill="1" applyBorder="1" applyAlignment="1" applyProtection="1">
      <alignment horizontal="center" vertical="center"/>
      <protection hidden="1"/>
    </xf>
    <xf numFmtId="0" fontId="16" fillId="6" borderId="4" xfId="0" applyFont="1" applyFill="1" applyBorder="1" applyAlignment="1" applyProtection="1">
      <alignment horizontal="center" vertical="center"/>
      <protection hidden="1"/>
    </xf>
    <xf numFmtId="2" fontId="16" fillId="6" borderId="4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0" quotePrefix="1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hidden="1"/>
    </xf>
    <xf numFmtId="0" fontId="16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0" fontId="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167" fontId="6" fillId="0" borderId="0" xfId="7" applyNumberFormat="1" applyFont="1" applyFill="1" applyAlignment="1" applyProtection="1">
      <alignment horizontal="center"/>
      <protection hidden="1"/>
    </xf>
    <xf numFmtId="167" fontId="6" fillId="0" borderId="0" xfId="7" applyNumberFormat="1" applyFont="1" applyFill="1" applyAlignment="1" applyProtection="1">
      <alignment horizontal="right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 applyProtection="1">
      <alignment horizontal="center"/>
      <protection hidden="1"/>
    </xf>
    <xf numFmtId="2" fontId="6" fillId="0" borderId="9" xfId="0" applyNumberFormat="1" applyFont="1" applyFill="1" applyBorder="1" applyAlignment="1" applyProtection="1">
      <alignment horizontal="center"/>
      <protection hidden="1"/>
    </xf>
    <xf numFmtId="2" fontId="6" fillId="0" borderId="3" xfId="0" applyNumberFormat="1" applyFon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16" fillId="7" borderId="0" xfId="0" applyNumberFormat="1" applyFont="1" applyFill="1" applyBorder="1" applyAlignment="1" applyProtection="1">
      <alignment vertical="center"/>
      <protection locked="0"/>
    </xf>
    <xf numFmtId="0" fontId="17" fillId="7" borderId="0" xfId="0" quotePrefix="1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Protection="1">
      <protection locked="0"/>
    </xf>
    <xf numFmtId="0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Protection="1">
      <protection hidden="1"/>
    </xf>
    <xf numFmtId="2" fontId="6" fillId="0" borderId="11" xfId="0" applyNumberFormat="1" applyFont="1" applyFill="1" applyBorder="1" applyAlignment="1" applyProtection="1">
      <alignment horizontal="left"/>
      <protection hidden="1"/>
    </xf>
    <xf numFmtId="2" fontId="6" fillId="0" borderId="12" xfId="0" applyNumberFormat="1" applyFont="1" applyFill="1" applyBorder="1" applyAlignment="1" applyProtection="1">
      <alignment horizontal="left"/>
      <protection hidden="1"/>
    </xf>
    <xf numFmtId="2" fontId="4" fillId="0" borderId="9" xfId="0" applyNumberFormat="1" applyFont="1" applyFill="1" applyBorder="1" applyAlignment="1" applyProtection="1">
      <alignment horizontal="center"/>
      <protection hidden="1"/>
    </xf>
    <xf numFmtId="2" fontId="6" fillId="0" borderId="13" xfId="0" applyNumberFormat="1" applyFont="1" applyFill="1" applyBorder="1" applyProtection="1">
      <protection hidden="1"/>
    </xf>
    <xf numFmtId="2" fontId="6" fillId="0" borderId="14" xfId="0" applyNumberFormat="1" applyFont="1" applyFill="1" applyBorder="1" applyProtection="1">
      <protection hidden="1"/>
    </xf>
    <xf numFmtId="2" fontId="4" fillId="0" borderId="15" xfId="0" applyNumberFormat="1" applyFont="1" applyFill="1" applyBorder="1" applyAlignment="1" applyProtection="1">
      <alignment horizontal="center"/>
      <protection hidden="1"/>
    </xf>
    <xf numFmtId="2" fontId="4" fillId="0" borderId="16" xfId="0" applyNumberFormat="1" applyFont="1" applyFill="1" applyBorder="1" applyAlignment="1" applyProtection="1">
      <alignment horizontal="center"/>
      <protection hidden="1"/>
    </xf>
    <xf numFmtId="2" fontId="6" fillId="0" borderId="17" xfId="0" applyNumberFormat="1" applyFont="1" applyFill="1" applyBorder="1" applyAlignment="1" applyProtection="1">
      <alignment horizontal="center"/>
      <protection hidden="1"/>
    </xf>
    <xf numFmtId="2" fontId="6" fillId="0" borderId="18" xfId="0" applyNumberFormat="1" applyFont="1" applyFill="1" applyBorder="1" applyAlignment="1" applyProtection="1">
      <alignment horizontal="center"/>
      <protection hidden="1"/>
    </xf>
    <xf numFmtId="2" fontId="6" fillId="0" borderId="19" xfId="0" applyNumberFormat="1" applyFont="1" applyFill="1" applyBorder="1" applyAlignment="1" applyProtection="1">
      <alignment horizontal="center"/>
      <protection hidden="1"/>
    </xf>
    <xf numFmtId="2" fontId="4" fillId="0" borderId="20" xfId="0" applyNumberFormat="1" applyFont="1" applyFill="1" applyBorder="1" applyAlignment="1" applyProtection="1">
      <alignment horizontal="right"/>
      <protection hidden="1"/>
    </xf>
    <xf numFmtId="2" fontId="4" fillId="0" borderId="21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Fill="1" applyBorder="1" applyAlignment="1" applyProtection="1">
      <alignment horizontal="center"/>
      <protection hidden="1"/>
    </xf>
    <xf numFmtId="2" fontId="6" fillId="0" borderId="23" xfId="0" applyNumberFormat="1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166" fontId="6" fillId="7" borderId="1" xfId="0" applyNumberFormat="1" applyFont="1" applyFill="1" applyBorder="1" applyAlignment="1" applyProtection="1">
      <alignment horizontal="center"/>
      <protection hidden="1"/>
    </xf>
    <xf numFmtId="0" fontId="6" fillId="7" borderId="1" xfId="0" applyNumberFormat="1" applyFont="1" applyFill="1" applyBorder="1" applyAlignment="1" applyProtection="1">
      <alignment horizontal="center"/>
      <protection hidden="1"/>
    </xf>
    <xf numFmtId="2" fontId="6" fillId="7" borderId="1" xfId="0" applyNumberFormat="1" applyFont="1" applyFill="1" applyBorder="1" applyAlignment="1" applyProtection="1">
      <alignment horizontal="center"/>
      <protection hidden="1"/>
    </xf>
    <xf numFmtId="2" fontId="6" fillId="7" borderId="1" xfId="0" quotePrefix="1" applyNumberFormat="1" applyFont="1" applyFill="1" applyBorder="1" applyAlignment="1" applyProtection="1">
      <alignment horizontal="center"/>
      <protection hidden="1"/>
    </xf>
    <xf numFmtId="2" fontId="6" fillId="7" borderId="1" xfId="0" applyNumberFormat="1" applyFont="1" applyFill="1" applyBorder="1" applyAlignment="1" applyProtection="1">
      <alignment horizontal="center" vertical="center"/>
      <protection hidden="1"/>
    </xf>
    <xf numFmtId="2" fontId="6" fillId="7" borderId="9" xfId="0" applyNumberFormat="1" applyFont="1" applyFill="1" applyBorder="1" applyAlignment="1" applyProtection="1">
      <alignment horizontal="center"/>
      <protection hidden="1"/>
    </xf>
    <xf numFmtId="2" fontId="6" fillId="7" borderId="22" xfId="0" applyNumberFormat="1" applyFont="1" applyFill="1" applyBorder="1" applyAlignment="1" applyProtection="1">
      <alignment horizontal="center"/>
      <protection hidden="1"/>
    </xf>
    <xf numFmtId="2" fontId="6" fillId="7" borderId="17" xfId="0" applyNumberFormat="1" applyFont="1" applyFill="1" applyBorder="1" applyAlignment="1" applyProtection="1">
      <alignment horizontal="center"/>
      <protection hidden="1"/>
    </xf>
    <xf numFmtId="2" fontId="6" fillId="7" borderId="9" xfId="0" quotePrefix="1" applyNumberFormat="1" applyFont="1" applyFill="1" applyBorder="1" applyAlignment="1" applyProtection="1">
      <alignment horizontal="center"/>
      <protection hidden="1"/>
    </xf>
    <xf numFmtId="166" fontId="6" fillId="7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left" indent="3"/>
      <protection hidden="1"/>
    </xf>
    <xf numFmtId="0" fontId="6" fillId="0" borderId="24" xfId="0" applyFont="1" applyFill="1" applyBorder="1" applyProtection="1">
      <protection hidden="1"/>
    </xf>
    <xf numFmtId="0" fontId="6" fillId="0" borderId="25" xfId="0" applyFont="1" applyFill="1" applyBorder="1" applyProtection="1">
      <protection hidden="1"/>
    </xf>
    <xf numFmtId="2" fontId="16" fillId="6" borderId="26" xfId="0" applyNumberFormat="1" applyFont="1" applyFill="1" applyBorder="1" applyAlignment="1" applyProtection="1">
      <alignment horizontal="center" vertical="center"/>
      <protection hidden="1"/>
    </xf>
    <xf numFmtId="2" fontId="17" fillId="6" borderId="27" xfId="0" applyNumberFormat="1" applyFont="1" applyFill="1" applyBorder="1" applyAlignment="1" applyProtection="1">
      <alignment horizontal="center" vertical="center"/>
      <protection hidden="1"/>
    </xf>
    <xf numFmtId="2" fontId="16" fillId="6" borderId="28" xfId="0" applyNumberFormat="1" applyFont="1" applyFill="1" applyBorder="1" applyAlignment="1" applyProtection="1">
      <alignment horizontal="center" vertical="center"/>
      <protection hidden="1"/>
    </xf>
    <xf numFmtId="2" fontId="17" fillId="6" borderId="29" xfId="0" applyNumberFormat="1" applyFont="1" applyFill="1" applyBorder="1" applyAlignment="1" applyProtection="1">
      <alignment horizontal="center" vertical="center"/>
      <protection hidden="1"/>
    </xf>
    <xf numFmtId="2" fontId="17" fillId="6" borderId="30" xfId="0" applyNumberFormat="1" applyFont="1" applyFill="1" applyBorder="1" applyAlignment="1" applyProtection="1">
      <alignment horizontal="center" vertical="center"/>
      <protection hidden="1"/>
    </xf>
    <xf numFmtId="2" fontId="16" fillId="6" borderId="31" xfId="0" applyNumberFormat="1" applyFont="1" applyFill="1" applyBorder="1" applyAlignment="1" applyProtection="1">
      <alignment horizontal="center" vertical="center"/>
      <protection hidden="1"/>
    </xf>
    <xf numFmtId="2" fontId="17" fillId="6" borderId="32" xfId="0" applyNumberFormat="1" applyFont="1" applyFill="1" applyBorder="1" applyAlignment="1" applyProtection="1">
      <alignment horizontal="center" vertical="center"/>
      <protection hidden="1"/>
    </xf>
    <xf numFmtId="2" fontId="16" fillId="6" borderId="33" xfId="0" applyNumberFormat="1" applyFont="1" applyFill="1" applyBorder="1" applyAlignment="1" applyProtection="1">
      <alignment horizontal="center" vertical="center"/>
      <protection hidden="1"/>
    </xf>
    <xf numFmtId="2" fontId="17" fillId="6" borderId="34" xfId="0" applyNumberFormat="1" applyFont="1" applyFill="1" applyBorder="1" applyAlignment="1" applyProtection="1">
      <alignment horizontal="center" vertical="center"/>
      <protection hidden="1"/>
    </xf>
    <xf numFmtId="2" fontId="17" fillId="6" borderId="35" xfId="0" applyNumberFormat="1" applyFont="1" applyFill="1" applyBorder="1" applyAlignment="1" applyProtection="1">
      <alignment horizontal="center" vertical="center"/>
      <protection hidden="1"/>
    </xf>
    <xf numFmtId="2" fontId="16" fillId="6" borderId="36" xfId="0" applyNumberFormat="1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2" fontId="17" fillId="0" borderId="24" xfId="0" applyNumberFormat="1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Fill="1" applyBorder="1" applyAlignment="1" applyProtection="1">
      <alignment vertical="center"/>
      <protection hidden="1"/>
    </xf>
    <xf numFmtId="2" fontId="16" fillId="0" borderId="0" xfId="0" applyNumberFormat="1" applyFont="1" applyFill="1" applyBorder="1" applyAlignment="1" applyProtection="1">
      <alignment vertical="center"/>
      <protection hidden="1"/>
    </xf>
    <xf numFmtId="2" fontId="16" fillId="0" borderId="0" xfId="0" applyNumberFormat="1" applyFont="1" applyFill="1" applyBorder="1" applyAlignment="1" applyProtection="1">
      <alignment horizontal="left" vertical="center"/>
      <protection hidden="1"/>
    </xf>
    <xf numFmtId="2" fontId="17" fillId="6" borderId="37" xfId="0" applyNumberFormat="1" applyFont="1" applyFill="1" applyBorder="1" applyAlignment="1" applyProtection="1">
      <alignment horizontal="center" vertical="center"/>
      <protection hidden="1"/>
    </xf>
    <xf numFmtId="2" fontId="16" fillId="6" borderId="38" xfId="0" applyNumberFormat="1" applyFont="1" applyFill="1" applyBorder="1" applyAlignment="1" applyProtection="1">
      <alignment horizontal="center" vertical="center"/>
      <protection hidden="1"/>
    </xf>
    <xf numFmtId="2" fontId="17" fillId="0" borderId="37" xfId="0" applyNumberFormat="1" applyFont="1" applyFill="1" applyBorder="1" applyAlignment="1" applyProtection="1">
      <alignment horizontal="left" vertical="center"/>
      <protection hidden="1"/>
    </xf>
    <xf numFmtId="2" fontId="16" fillId="2" borderId="39" xfId="0" applyNumberFormat="1" applyFont="1" applyFill="1" applyBorder="1" applyAlignment="1">
      <alignment horizontal="left" vertical="center"/>
    </xf>
    <xf numFmtId="2" fontId="16" fillId="2" borderId="39" xfId="0" applyNumberFormat="1" applyFont="1" applyFill="1" applyBorder="1" applyAlignment="1">
      <alignment horizontal="center" vertical="center"/>
    </xf>
    <xf numFmtId="2" fontId="16" fillId="2" borderId="24" xfId="0" applyNumberFormat="1" applyFont="1" applyFill="1" applyBorder="1" applyAlignment="1">
      <alignment horizontal="left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7" fillId="6" borderId="40" xfId="0" applyNumberFormat="1" applyFont="1" applyFill="1" applyBorder="1" applyAlignment="1" applyProtection="1">
      <alignment horizontal="center" vertical="center"/>
      <protection hidden="1"/>
    </xf>
    <xf numFmtId="2" fontId="16" fillId="6" borderId="41" xfId="0" applyNumberFormat="1" applyFont="1" applyFill="1" applyBorder="1" applyAlignment="1" applyProtection="1">
      <alignment horizontal="center" vertical="center"/>
      <protection hidden="1"/>
    </xf>
    <xf numFmtId="2" fontId="16" fillId="2" borderId="42" xfId="0" applyNumberFormat="1" applyFont="1" applyFill="1" applyBorder="1" applyAlignment="1">
      <alignment horizontal="center" vertical="center"/>
    </xf>
    <xf numFmtId="2" fontId="16" fillId="2" borderId="43" xfId="0" applyNumberFormat="1" applyFont="1" applyFill="1" applyBorder="1" applyAlignment="1">
      <alignment horizontal="center" vertical="center"/>
    </xf>
    <xf numFmtId="2" fontId="17" fillId="6" borderId="44" xfId="0" applyNumberFormat="1" applyFont="1" applyFill="1" applyBorder="1" applyAlignment="1" applyProtection="1">
      <alignment horizontal="center" vertical="center"/>
      <protection hidden="1"/>
    </xf>
    <xf numFmtId="2" fontId="17" fillId="6" borderId="45" xfId="0" applyNumberFormat="1" applyFont="1" applyFill="1" applyBorder="1" applyAlignment="1" applyProtection="1">
      <alignment horizontal="center" vertical="center"/>
      <protection hidden="1"/>
    </xf>
    <xf numFmtId="2" fontId="17" fillId="6" borderId="46" xfId="0" applyNumberFormat="1" applyFont="1" applyFill="1" applyBorder="1" applyAlignment="1" applyProtection="1">
      <alignment horizontal="center" vertical="center"/>
      <protection hidden="1"/>
    </xf>
    <xf numFmtId="2" fontId="16" fillId="0" borderId="47" xfId="0" applyNumberFormat="1" applyFont="1" applyFill="1" applyBorder="1" applyAlignment="1" applyProtection="1">
      <alignment horizontal="center" vertical="center"/>
      <protection hidden="1"/>
    </xf>
    <xf numFmtId="2" fontId="16" fillId="0" borderId="48" xfId="0" applyNumberFormat="1" applyFont="1" applyFill="1" applyBorder="1" applyAlignment="1" applyProtection="1">
      <alignment horizontal="center" vertical="center"/>
      <protection hidden="1"/>
    </xf>
    <xf numFmtId="2" fontId="16" fillId="0" borderId="49" xfId="0" applyNumberFormat="1" applyFont="1" applyFill="1" applyBorder="1" applyAlignment="1" applyProtection="1">
      <alignment horizontal="center" vertical="center"/>
      <protection hidden="1"/>
    </xf>
    <xf numFmtId="2" fontId="17" fillId="6" borderId="50" xfId="0" applyNumberFormat="1" applyFont="1" applyFill="1" applyBorder="1" applyAlignment="1" applyProtection="1">
      <alignment horizontal="center" vertical="center"/>
      <protection hidden="1"/>
    </xf>
    <xf numFmtId="2" fontId="6" fillId="0" borderId="37" xfId="0" applyNumberFormat="1" applyFont="1" applyFill="1" applyBorder="1" applyProtection="1">
      <protection hidden="1"/>
    </xf>
    <xf numFmtId="2" fontId="16" fillId="0" borderId="39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Fill="1" applyAlignment="1" applyProtection="1">
      <alignment vertical="center"/>
      <protection locked="0"/>
    </xf>
    <xf numFmtId="2" fontId="16" fillId="0" borderId="39" xfId="0" applyNumberFormat="1" applyFont="1" applyFill="1" applyBorder="1" applyAlignment="1" applyProtection="1">
      <alignment horizontal="center" vertical="center"/>
      <protection locked="0"/>
    </xf>
    <xf numFmtId="2" fontId="17" fillId="6" borderId="7" xfId="0" applyNumberFormat="1" applyFont="1" applyFill="1" applyBorder="1" applyAlignment="1" applyProtection="1">
      <alignment horizontal="center" vertical="center"/>
      <protection hidden="1"/>
    </xf>
    <xf numFmtId="2" fontId="16" fillId="0" borderId="24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hidden="1"/>
    </xf>
    <xf numFmtId="2" fontId="6" fillId="0" borderId="10" xfId="0" applyNumberFormat="1" applyFont="1" applyFill="1" applyBorder="1" applyAlignment="1" applyProtection="1">
      <alignment horizontal="center"/>
      <protection hidden="1"/>
    </xf>
    <xf numFmtId="2" fontId="10" fillId="4" borderId="0" xfId="0" applyNumberFormat="1" applyFont="1" applyFill="1"/>
    <xf numFmtId="0" fontId="6" fillId="2" borderId="0" xfId="0" applyFont="1" applyFill="1"/>
    <xf numFmtId="165" fontId="14" fillId="3" borderId="29" xfId="0" applyNumberFormat="1" applyFont="1" applyFill="1" applyBorder="1" applyAlignment="1" applyProtection="1">
      <alignment horizontal="center" vertical="center"/>
      <protection hidden="1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2" fontId="19" fillId="3" borderId="29" xfId="0" applyNumberFormat="1" applyFont="1" applyFill="1" applyBorder="1" applyAlignment="1" applyProtection="1">
      <alignment horizontal="center" vertical="center"/>
      <protection hidden="1"/>
    </xf>
    <xf numFmtId="2" fontId="16" fillId="2" borderId="34" xfId="0" applyNumberFormat="1" applyFont="1" applyFill="1" applyBorder="1" applyAlignment="1">
      <alignment horizontal="center" vertical="center"/>
    </xf>
    <xf numFmtId="2" fontId="16" fillId="2" borderId="26" xfId="0" applyNumberFormat="1" applyFont="1" applyFill="1" applyBorder="1" applyAlignment="1">
      <alignment horizontal="center" vertic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9"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0</xdr:row>
          <xdr:rowOff>38100</xdr:rowOff>
        </xdr:from>
        <xdr:to>
          <xdr:col>7</xdr:col>
          <xdr:colOff>371475</xdr:colOff>
          <xdr:row>1</xdr:row>
          <xdr:rowOff>295275</xdr:rowOff>
        </xdr:to>
        <xdr:sp macro="" textlink="">
          <xdr:nvSpPr>
            <xdr:cNvPr id="60417" name="Button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Fit Screen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</xdr:row>
          <xdr:rowOff>38100</xdr:rowOff>
        </xdr:from>
        <xdr:to>
          <xdr:col>13</xdr:col>
          <xdr:colOff>152400</xdr:colOff>
          <xdr:row>1</xdr:row>
          <xdr:rowOff>314325</xdr:rowOff>
        </xdr:to>
        <xdr:sp macro="" textlink="">
          <xdr:nvSpPr>
            <xdr:cNvPr id="60418" name="CheckBox1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47625</xdr:rowOff>
        </xdr:from>
        <xdr:to>
          <xdr:col>10</xdr:col>
          <xdr:colOff>371475</xdr:colOff>
          <xdr:row>1</xdr:row>
          <xdr:rowOff>304800</xdr:rowOff>
        </xdr:to>
        <xdr:sp macro="" textlink="">
          <xdr:nvSpPr>
            <xdr:cNvPr id="60419" name="CheckBox2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0</xdr:row>
          <xdr:rowOff>38100</xdr:rowOff>
        </xdr:from>
        <xdr:to>
          <xdr:col>7</xdr:col>
          <xdr:colOff>371475</xdr:colOff>
          <xdr:row>1</xdr:row>
          <xdr:rowOff>295275</xdr:rowOff>
        </xdr:to>
        <xdr:sp macro="" textlink="">
          <xdr:nvSpPr>
            <xdr:cNvPr id="68609" name="Button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Fit Screen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</xdr:row>
          <xdr:rowOff>38100</xdr:rowOff>
        </xdr:from>
        <xdr:to>
          <xdr:col>13</xdr:col>
          <xdr:colOff>152400</xdr:colOff>
          <xdr:row>1</xdr:row>
          <xdr:rowOff>314325</xdr:rowOff>
        </xdr:to>
        <xdr:sp macro="" textlink="">
          <xdr:nvSpPr>
            <xdr:cNvPr id="68610" name="CheckBox1" hidden="1">
              <a:extLst>
                <a:ext uri="{63B3BB69-23CF-44E3-9099-C40C66FF867C}">
                  <a14:compatExt spid="_x0000_s6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47625</xdr:rowOff>
        </xdr:from>
        <xdr:to>
          <xdr:col>10</xdr:col>
          <xdr:colOff>371475</xdr:colOff>
          <xdr:row>1</xdr:row>
          <xdr:rowOff>304800</xdr:rowOff>
        </xdr:to>
        <xdr:sp macro="" textlink="">
          <xdr:nvSpPr>
            <xdr:cNvPr id="68611" name="CheckBox2" hidden="1">
              <a:extLst>
                <a:ext uri="{63B3BB69-23CF-44E3-9099-C40C66FF867C}">
                  <a14:compatExt spid="_x0000_s6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0</xdr:row>
          <xdr:rowOff>38100</xdr:rowOff>
        </xdr:from>
        <xdr:to>
          <xdr:col>7</xdr:col>
          <xdr:colOff>371475</xdr:colOff>
          <xdr:row>1</xdr:row>
          <xdr:rowOff>295275</xdr:rowOff>
        </xdr:to>
        <xdr:sp macro="" textlink="">
          <xdr:nvSpPr>
            <xdr:cNvPr id="69633" name="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Fit Screen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</xdr:row>
          <xdr:rowOff>38100</xdr:rowOff>
        </xdr:from>
        <xdr:to>
          <xdr:col>13</xdr:col>
          <xdr:colOff>152400</xdr:colOff>
          <xdr:row>1</xdr:row>
          <xdr:rowOff>314325</xdr:rowOff>
        </xdr:to>
        <xdr:sp macro="" textlink="">
          <xdr:nvSpPr>
            <xdr:cNvPr id="69634" name="CheckBox1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47625</xdr:rowOff>
        </xdr:from>
        <xdr:to>
          <xdr:col>10</xdr:col>
          <xdr:colOff>371475</xdr:colOff>
          <xdr:row>1</xdr:row>
          <xdr:rowOff>304800</xdr:rowOff>
        </xdr:to>
        <xdr:sp macro="" textlink="">
          <xdr:nvSpPr>
            <xdr:cNvPr id="69635" name="CheckBox2" hidden="1">
              <a:extLst>
                <a:ext uri="{63B3BB69-23CF-44E3-9099-C40C66FF867C}">
                  <a14:compatExt spid="_x0000_s6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B207"/>
  <sheetViews>
    <sheetView showGridLines="0" showRowColHeaders="0" tabSelected="1" showOutlineSymbols="0" zoomScale="114" zoomScaleNormal="114" workbookViewId="0">
      <selection activeCell="D13" sqref="D13"/>
    </sheetView>
  </sheetViews>
  <sheetFormatPr defaultRowHeight="12.75" x14ac:dyDescent="0.2"/>
  <cols>
    <col min="1" max="1" width="5" style="136" bestFit="1" customWidth="1"/>
    <col min="2" max="2" width="15.85546875" style="34" customWidth="1"/>
    <col min="3" max="4" width="9" style="43" customWidth="1"/>
    <col min="5" max="5" width="8.5703125" style="40" customWidth="1"/>
    <col min="6" max="7" width="9" style="40" customWidth="1"/>
    <col min="8" max="9" width="9" style="19" customWidth="1"/>
    <col min="10" max="10" width="9.42578125" style="19" customWidth="1"/>
    <col min="11" max="11" width="9" style="19" customWidth="1"/>
    <col min="12" max="12" width="10.28515625" style="19" customWidth="1"/>
    <col min="13" max="22" width="9" style="19" customWidth="1"/>
    <col min="23" max="25" width="9.140625" style="19"/>
    <col min="26" max="26" width="9.140625" style="19" customWidth="1"/>
    <col min="27" max="28" width="9.140625" style="19"/>
    <col min="29" max="16384" width="9.140625" style="34"/>
  </cols>
  <sheetData>
    <row r="1" spans="1:28" s="73" customFormat="1" x14ac:dyDescent="0.2">
      <c r="A1" s="13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</row>
    <row r="2" spans="1:28" ht="27" thickBot="1" x14ac:dyDescent="0.45">
      <c r="A2" s="132"/>
      <c r="B2" s="35" t="s">
        <v>65</v>
      </c>
      <c r="C2" s="62"/>
      <c r="D2" s="94" t="s">
        <v>158</v>
      </c>
      <c r="E2" s="33"/>
      <c r="F2" s="33"/>
      <c r="G2" s="23"/>
      <c r="H2" s="23"/>
      <c r="I2" s="23"/>
      <c r="J2" s="29" t="b">
        <v>1</v>
      </c>
      <c r="L2" s="23"/>
      <c r="M2" s="29" t="b">
        <v>0</v>
      </c>
      <c r="N2" s="23"/>
    </row>
    <row r="3" spans="1:28" ht="18" customHeight="1" thickBot="1" x14ac:dyDescent="0.3">
      <c r="A3" s="132"/>
      <c r="B3" s="28"/>
      <c r="C3" s="36"/>
      <c r="D3" s="94" t="s">
        <v>79</v>
      </c>
      <c r="E3" s="33"/>
      <c r="F3" s="216" t="s">
        <v>81</v>
      </c>
      <c r="G3" s="217"/>
      <c r="H3" s="217"/>
      <c r="I3" s="217"/>
      <c r="J3" s="217"/>
      <c r="K3" s="217"/>
      <c r="L3" s="217"/>
      <c r="M3" s="218"/>
      <c r="N3" s="64"/>
      <c r="R3" s="23"/>
      <c r="S3" s="23"/>
      <c r="T3" s="23"/>
      <c r="Z3" s="37" t="str">
        <f>+'%Analysis'!A5</f>
        <v>Al2O3</v>
      </c>
    </row>
    <row r="4" spans="1:28" ht="18" customHeight="1" thickBot="1" x14ac:dyDescent="0.3">
      <c r="A4" s="132"/>
      <c r="B4" s="14"/>
      <c r="C4" s="32"/>
      <c r="D4" s="32"/>
      <c r="E4" s="102" t="s">
        <v>41</v>
      </c>
      <c r="F4" s="169" t="s">
        <v>113</v>
      </c>
      <c r="G4" s="170">
        <f>C92</f>
        <v>7.2127597393417342E-2</v>
      </c>
      <c r="H4" s="169" t="s">
        <v>5</v>
      </c>
      <c r="I4" s="170">
        <f>F92</f>
        <v>0.53555772613829533</v>
      </c>
      <c r="J4" s="171" t="s">
        <v>114</v>
      </c>
      <c r="K4" s="168">
        <f>L92</f>
        <v>0.26972573355632778</v>
      </c>
      <c r="L4" s="171" t="s">
        <v>115</v>
      </c>
      <c r="M4" s="168">
        <f>M92</f>
        <v>1.7786566926264971</v>
      </c>
      <c r="O4" s="23"/>
      <c r="P4" s="23"/>
      <c r="R4" s="23"/>
      <c r="S4" s="23"/>
      <c r="T4" s="23"/>
      <c r="Z4" s="37" t="str">
        <f>+'%Analysis'!A6</f>
        <v>Albany Slip</v>
      </c>
    </row>
    <row r="5" spans="1:28" ht="18" customHeight="1" thickBot="1" x14ac:dyDescent="0.3">
      <c r="A5" s="132"/>
      <c r="B5" s="219" t="s">
        <v>63</v>
      </c>
      <c r="C5" s="220"/>
      <c r="D5" s="221"/>
      <c r="E5" s="103" t="s">
        <v>112</v>
      </c>
      <c r="F5" s="172" t="s">
        <v>116</v>
      </c>
      <c r="G5" s="173">
        <f>D92</f>
        <v>7.4939339910883376E-2</v>
      </c>
      <c r="H5" s="172" t="s">
        <v>6</v>
      </c>
      <c r="I5" s="173">
        <f>G92</f>
        <v>0.31603303179764558</v>
      </c>
      <c r="J5" s="174" t="s">
        <v>117</v>
      </c>
      <c r="K5" s="175">
        <f>+K92</f>
        <v>0.14362745236998892</v>
      </c>
      <c r="L5" s="176" t="s">
        <v>118</v>
      </c>
      <c r="M5" s="168">
        <f>M4/K4</f>
        <v>6.5943158970223132</v>
      </c>
      <c r="R5" s="23"/>
      <c r="S5" s="23"/>
      <c r="T5" s="23"/>
      <c r="U5" s="23"/>
      <c r="V5" s="23"/>
      <c r="Z5" s="37" t="str">
        <f>+'%Analysis'!A7</f>
        <v>Alumina Hydrate</v>
      </c>
    </row>
    <row r="6" spans="1:28" ht="18" customHeight="1" thickBot="1" x14ac:dyDescent="0.3">
      <c r="A6" s="133"/>
      <c r="B6" s="16" t="s">
        <v>0</v>
      </c>
      <c r="C6" s="17" t="s">
        <v>44</v>
      </c>
      <c r="D6" s="18" t="s">
        <v>57</v>
      </c>
      <c r="E6" s="104">
        <v>106</v>
      </c>
      <c r="F6" s="177" t="s">
        <v>119</v>
      </c>
      <c r="G6" s="178">
        <f>E92</f>
        <v>0</v>
      </c>
      <c r="H6" s="172" t="s">
        <v>7</v>
      </c>
      <c r="I6" s="173">
        <f>I92</f>
        <v>1.3423047597585429E-3</v>
      </c>
      <c r="J6" s="177" t="s">
        <v>120</v>
      </c>
      <c r="K6" s="178">
        <f>Q155/$H$156</f>
        <v>2.3641433483927487E-3</v>
      </c>
      <c r="L6" s="179"/>
      <c r="M6" s="180"/>
      <c r="R6" s="23"/>
      <c r="S6" s="23"/>
      <c r="T6" s="23"/>
      <c r="U6" s="23"/>
      <c r="V6" s="23"/>
      <c r="Z6" s="37" t="str">
        <f>+'%Analysis'!A8</f>
        <v>B2O3</v>
      </c>
    </row>
    <row r="7" spans="1:28" ht="18" customHeight="1" x14ac:dyDescent="0.2">
      <c r="A7" s="134"/>
      <c r="B7" s="96" t="s">
        <v>83</v>
      </c>
      <c r="C7" s="97">
        <v>12</v>
      </c>
      <c r="D7" s="98">
        <f t="shared" ref="D7:D18" si="0">IF(C7&gt;0,C7/SUM($C$7:$C$18)*100,"")</f>
        <v>11.320754716981133</v>
      </c>
      <c r="E7" s="105">
        <f>IF(C7&gt;0,D7*$E$6*0.01,"")</f>
        <v>12</v>
      </c>
      <c r="F7" s="169" t="s">
        <v>121</v>
      </c>
      <c r="G7" s="170">
        <f>SUM(G4:G6)</f>
        <v>0.1470669373043007</v>
      </c>
      <c r="H7" s="172" t="s">
        <v>8</v>
      </c>
      <c r="I7" s="173">
        <f>J92</f>
        <v>0</v>
      </c>
      <c r="J7" s="181"/>
      <c r="K7" s="180"/>
      <c r="L7" s="182"/>
      <c r="M7" s="183"/>
      <c r="R7" s="23"/>
      <c r="S7" s="23"/>
      <c r="T7" s="23"/>
      <c r="U7" s="23"/>
      <c r="V7" s="23"/>
      <c r="Z7" s="37" t="str">
        <f>+'%Analysis'!A9</f>
        <v>BaCarb</v>
      </c>
    </row>
    <row r="8" spans="1:28" ht="18" customHeight="1" thickBot="1" x14ac:dyDescent="0.25">
      <c r="A8" s="134"/>
      <c r="B8" s="96" t="s">
        <v>130</v>
      </c>
      <c r="C8" s="97">
        <v>14</v>
      </c>
      <c r="D8" s="98">
        <f t="shared" si="0"/>
        <v>13.20754716981132</v>
      </c>
      <c r="E8" s="105">
        <f t="shared" ref="E8:E18" si="1">IF(C8&gt;0,D8*$E$6*0.01,"")</f>
        <v>14</v>
      </c>
      <c r="F8" s="177" t="s">
        <v>45</v>
      </c>
      <c r="G8" s="178">
        <f>SUM(I4:I8)</f>
        <v>0.85293306269569946</v>
      </c>
      <c r="H8" s="177" t="s">
        <v>9</v>
      </c>
      <c r="I8" s="178">
        <f>H92</f>
        <v>0</v>
      </c>
      <c r="J8" s="183"/>
      <c r="K8" s="184"/>
      <c r="L8" s="179"/>
      <c r="M8" s="180"/>
      <c r="O8" s="65"/>
      <c r="P8" s="65"/>
      <c r="R8" s="23"/>
      <c r="S8" s="23"/>
      <c r="T8" s="23"/>
      <c r="U8" s="23"/>
      <c r="V8" s="23"/>
      <c r="Z8" s="37" t="str">
        <f>+'%Analysis'!A10</f>
        <v>BaO</v>
      </c>
    </row>
    <row r="9" spans="1:28" ht="18" customHeight="1" thickBot="1" x14ac:dyDescent="0.25">
      <c r="A9" s="134"/>
      <c r="B9" s="96" t="s">
        <v>86</v>
      </c>
      <c r="C9" s="97">
        <v>10</v>
      </c>
      <c r="D9" s="98">
        <f t="shared" si="0"/>
        <v>9.433962264150944</v>
      </c>
      <c r="E9" s="105">
        <f t="shared" si="1"/>
        <v>10.000000000000002</v>
      </c>
      <c r="F9" s="222" t="s">
        <v>78</v>
      </c>
      <c r="G9" s="223"/>
      <c r="H9" s="223"/>
      <c r="I9" s="223"/>
      <c r="J9" s="223"/>
      <c r="K9" s="223"/>
      <c r="L9" s="223"/>
      <c r="M9" s="224"/>
      <c r="O9" s="101"/>
      <c r="P9" s="65"/>
      <c r="Q9" s="23"/>
      <c r="R9" s="23"/>
      <c r="S9" s="23"/>
      <c r="T9" s="23"/>
      <c r="U9" s="23"/>
      <c r="V9" s="23"/>
      <c r="Z9" s="37" t="str">
        <f>+'%Analysis'!A11</f>
        <v>Barnard Slip</v>
      </c>
    </row>
    <row r="10" spans="1:28" ht="18" customHeight="1" thickBot="1" x14ac:dyDescent="0.25">
      <c r="A10" s="134"/>
      <c r="B10" s="96" t="s">
        <v>80</v>
      </c>
      <c r="C10" s="97">
        <v>8</v>
      </c>
      <c r="D10" s="98">
        <f t="shared" si="0"/>
        <v>7.5471698113207548</v>
      </c>
      <c r="E10" s="105">
        <f t="shared" si="1"/>
        <v>8</v>
      </c>
      <c r="F10" s="169" t="s">
        <v>113</v>
      </c>
      <c r="G10" s="170">
        <f>C89</f>
        <v>0.10545479642531227</v>
      </c>
      <c r="H10" s="169" t="s">
        <v>5</v>
      </c>
      <c r="I10" s="170">
        <f>F89</f>
        <v>0.78301694531518407</v>
      </c>
      <c r="J10" s="185" t="s">
        <v>114</v>
      </c>
      <c r="K10" s="186">
        <f>L89</f>
        <v>0.30626308934760171</v>
      </c>
      <c r="L10" s="171" t="s">
        <v>115</v>
      </c>
      <c r="M10" s="168">
        <f>M89</f>
        <v>2.5261632655356498</v>
      </c>
      <c r="N10" s="91"/>
      <c r="O10" s="127"/>
      <c r="P10" s="66"/>
      <c r="R10" s="23"/>
      <c r="S10" s="23"/>
      <c r="T10" s="23"/>
      <c r="U10" s="23"/>
      <c r="V10" s="23"/>
      <c r="Z10" s="37" t="str">
        <f>+'%Analysis'!A12</f>
        <v>Bentone MA</v>
      </c>
    </row>
    <row r="11" spans="1:28" ht="18" customHeight="1" thickBot="1" x14ac:dyDescent="0.25">
      <c r="A11" s="134"/>
      <c r="B11" s="96" t="s">
        <v>66</v>
      </c>
      <c r="C11" s="97">
        <v>46</v>
      </c>
      <c r="D11" s="98">
        <f t="shared" si="0"/>
        <v>43.39622641509434</v>
      </c>
      <c r="E11" s="105">
        <f t="shared" si="1"/>
        <v>46</v>
      </c>
      <c r="F11" s="172" t="s">
        <v>116</v>
      </c>
      <c r="G11" s="173">
        <f>D89</f>
        <v>0.10956572962557491</v>
      </c>
      <c r="H11" s="172" t="s">
        <v>6</v>
      </c>
      <c r="I11" s="173">
        <f>G89</f>
        <v>0</v>
      </c>
      <c r="J11" s="171" t="s">
        <v>117</v>
      </c>
      <c r="K11" s="168">
        <f>K89</f>
        <v>0.20999179645689572</v>
      </c>
      <c r="L11" s="176" t="s">
        <v>118</v>
      </c>
      <c r="M11" s="168">
        <f>M10/K10</f>
        <v>8.2483438370482549</v>
      </c>
      <c r="N11" s="69"/>
      <c r="O11" s="128"/>
      <c r="P11" s="66"/>
      <c r="R11" s="23"/>
      <c r="S11" s="23"/>
      <c r="T11" s="23"/>
      <c r="U11" s="23"/>
      <c r="V11" s="23"/>
      <c r="Z11" s="37" t="str">
        <f>+'%Analysis'!A13</f>
        <v>Bentonite</v>
      </c>
    </row>
    <row r="12" spans="1:28" ht="18" customHeight="1" thickBot="1" x14ac:dyDescent="0.25">
      <c r="A12" s="134"/>
      <c r="B12" s="96" t="s">
        <v>24</v>
      </c>
      <c r="C12" s="97">
        <v>10</v>
      </c>
      <c r="D12" s="98">
        <f t="shared" si="0"/>
        <v>9.433962264150944</v>
      </c>
      <c r="E12" s="105">
        <f t="shared" si="1"/>
        <v>10.000000000000002</v>
      </c>
      <c r="F12" s="177" t="s">
        <v>119</v>
      </c>
      <c r="G12" s="178">
        <f>E89</f>
        <v>0</v>
      </c>
      <c r="H12" s="172" t="s">
        <v>7</v>
      </c>
      <c r="I12" s="173">
        <f>I89</f>
        <v>1.9625286339287314E-3</v>
      </c>
      <c r="J12" s="187"/>
      <c r="K12" s="188"/>
      <c r="L12" s="189"/>
      <c r="M12" s="189"/>
      <c r="N12" s="91"/>
      <c r="O12" s="129"/>
      <c r="P12" s="89"/>
      <c r="Q12" s="89"/>
      <c r="R12" s="89"/>
      <c r="S12" s="23"/>
      <c r="T12" s="23"/>
      <c r="U12" s="23"/>
      <c r="V12" s="23"/>
      <c r="Z12" s="37" t="str">
        <f>+'%Analysis'!A14</f>
        <v>BoneAsh</v>
      </c>
    </row>
    <row r="13" spans="1:28" ht="18" customHeight="1" x14ac:dyDescent="0.2">
      <c r="A13" s="134"/>
      <c r="B13" s="96"/>
      <c r="C13" s="97"/>
      <c r="D13" s="98" t="str">
        <f t="shared" si="0"/>
        <v/>
      </c>
      <c r="E13" s="105" t="str">
        <f t="shared" si="1"/>
        <v/>
      </c>
      <c r="F13" s="169" t="s">
        <v>121</v>
      </c>
      <c r="G13" s="170">
        <f>SUM(G10:G12)</f>
        <v>0.21502052605088717</v>
      </c>
      <c r="H13" s="172" t="s">
        <v>8</v>
      </c>
      <c r="I13" s="173">
        <f>J89</f>
        <v>0</v>
      </c>
      <c r="J13" s="190"/>
      <c r="K13" s="191"/>
      <c r="L13" s="191"/>
      <c r="M13" s="191"/>
      <c r="N13" s="95"/>
      <c r="O13" s="126"/>
      <c r="P13" s="66"/>
      <c r="Q13" s="90"/>
      <c r="R13" s="90"/>
      <c r="S13" s="23"/>
      <c r="T13" s="23"/>
      <c r="U13" s="23"/>
      <c r="V13" s="23"/>
      <c r="Z13" s="37" t="str">
        <f>+'%Analysis'!A15</f>
        <v>Borax</v>
      </c>
    </row>
    <row r="14" spans="1:28" ht="18" customHeight="1" thickBot="1" x14ac:dyDescent="0.25">
      <c r="A14" s="134"/>
      <c r="B14" s="96" t="s">
        <v>20</v>
      </c>
      <c r="C14" s="97">
        <v>6</v>
      </c>
      <c r="D14" s="98">
        <f t="shared" si="0"/>
        <v>5.6603773584905666</v>
      </c>
      <c r="E14" s="105">
        <f t="shared" si="1"/>
        <v>6</v>
      </c>
      <c r="F14" s="192" t="s">
        <v>45</v>
      </c>
      <c r="G14" s="193">
        <f>SUM(I10:I14)</f>
        <v>0.78497947394911283</v>
      </c>
      <c r="H14" s="192" t="s">
        <v>9</v>
      </c>
      <c r="I14" s="193">
        <f>H89</f>
        <v>0</v>
      </c>
      <c r="J14" s="194"/>
      <c r="K14" s="195"/>
      <c r="L14" s="195"/>
      <c r="M14" s="195"/>
      <c r="N14" s="88"/>
      <c r="O14" s="129"/>
      <c r="P14" s="89"/>
      <c r="Q14" s="89"/>
      <c r="R14" s="89"/>
      <c r="S14" s="23"/>
      <c r="T14" s="23"/>
      <c r="U14" s="23"/>
      <c r="V14" s="23"/>
      <c r="Z14" s="37" t="str">
        <f>+'%Analysis'!A16</f>
        <v>CaO</v>
      </c>
    </row>
    <row r="15" spans="1:28" ht="18" customHeight="1" thickBot="1" x14ac:dyDescent="0.25">
      <c r="A15" s="134"/>
      <c r="B15" s="96"/>
      <c r="C15" s="97"/>
      <c r="D15" s="98" t="str">
        <f t="shared" si="0"/>
        <v/>
      </c>
      <c r="E15" s="105" t="str">
        <f t="shared" si="1"/>
        <v/>
      </c>
      <c r="F15" s="222" t="s">
        <v>64</v>
      </c>
      <c r="G15" s="223"/>
      <c r="H15" s="223"/>
      <c r="I15" s="223"/>
      <c r="J15" s="223"/>
      <c r="K15" s="223"/>
      <c r="L15" s="223"/>
      <c r="M15" s="224"/>
      <c r="N15" s="66"/>
      <c r="O15" s="126"/>
      <c r="P15" s="66"/>
      <c r="Q15" s="90"/>
      <c r="R15" s="90"/>
      <c r="S15" s="23"/>
      <c r="T15" s="23"/>
      <c r="U15" s="23"/>
      <c r="V15" s="23"/>
      <c r="Z15" s="37" t="str">
        <f>+'%Analysis'!A17</f>
        <v>ChromeOxide</v>
      </c>
    </row>
    <row r="16" spans="1:28" ht="18" customHeight="1" thickBot="1" x14ac:dyDescent="0.25">
      <c r="A16" s="134"/>
      <c r="B16" s="96"/>
      <c r="C16" s="97"/>
      <c r="D16" s="98" t="str">
        <f t="shared" si="0"/>
        <v/>
      </c>
      <c r="E16" s="105" t="str">
        <f t="shared" si="1"/>
        <v/>
      </c>
      <c r="F16" s="196" t="s">
        <v>113</v>
      </c>
      <c r="G16" s="197" t="s">
        <v>116</v>
      </c>
      <c r="H16" s="197" t="s">
        <v>119</v>
      </c>
      <c r="I16" s="197" t="s">
        <v>5</v>
      </c>
      <c r="J16" s="197" t="s">
        <v>6</v>
      </c>
      <c r="K16" s="197" t="s">
        <v>9</v>
      </c>
      <c r="L16" s="197" t="s">
        <v>7</v>
      </c>
      <c r="M16" s="198" t="s">
        <v>8</v>
      </c>
      <c r="N16" s="88"/>
      <c r="O16" s="127"/>
      <c r="P16" s="89"/>
      <c r="Q16" s="89"/>
      <c r="R16" s="89"/>
      <c r="S16" s="23"/>
      <c r="T16" s="23"/>
      <c r="U16" s="23"/>
      <c r="V16" s="23"/>
      <c r="Z16" s="37" t="str">
        <f>+'%Analysis'!A18</f>
        <v>CMC Gum</v>
      </c>
    </row>
    <row r="17" spans="1:28" ht="18" customHeight="1" thickBot="1" x14ac:dyDescent="0.25">
      <c r="A17" s="134"/>
      <c r="B17" s="96"/>
      <c r="C17" s="97"/>
      <c r="D17" s="98" t="str">
        <f t="shared" si="0"/>
        <v/>
      </c>
      <c r="E17" s="105" t="str">
        <f t="shared" si="1"/>
        <v/>
      </c>
      <c r="F17" s="199">
        <f t="shared" ref="F17:M17" si="2">C90</f>
        <v>0</v>
      </c>
      <c r="G17" s="200">
        <f t="shared" si="2"/>
        <v>0</v>
      </c>
      <c r="H17" s="200">
        <f t="shared" si="2"/>
        <v>0</v>
      </c>
      <c r="I17" s="200">
        <f t="shared" si="2"/>
        <v>0</v>
      </c>
      <c r="J17" s="200">
        <f t="shared" si="2"/>
        <v>0.46205890999131677</v>
      </c>
      <c r="K17" s="200">
        <f t="shared" si="2"/>
        <v>0</v>
      </c>
      <c r="L17" s="200">
        <f t="shared" si="2"/>
        <v>0</v>
      </c>
      <c r="M17" s="201">
        <f t="shared" si="2"/>
        <v>0</v>
      </c>
      <c r="N17" s="88"/>
      <c r="O17" s="126"/>
      <c r="P17" s="66"/>
      <c r="Q17" s="90"/>
      <c r="R17" s="90"/>
      <c r="Z17" s="37" t="str">
        <f>+'%Analysis'!A19</f>
        <v>CoCarb</v>
      </c>
    </row>
    <row r="18" spans="1:28" ht="18" customHeight="1" thickBot="1" x14ac:dyDescent="0.25">
      <c r="A18" s="134"/>
      <c r="B18" s="96"/>
      <c r="C18" s="97"/>
      <c r="D18" s="98" t="str">
        <f t="shared" si="0"/>
        <v/>
      </c>
      <c r="E18" s="105" t="str">
        <f t="shared" si="1"/>
        <v/>
      </c>
      <c r="F18" s="196" t="s">
        <v>114</v>
      </c>
      <c r="G18" s="202" t="s">
        <v>115</v>
      </c>
      <c r="H18" s="203"/>
      <c r="I18" s="204"/>
      <c r="J18" s="205"/>
      <c r="K18" s="206"/>
      <c r="L18" s="171" t="s">
        <v>117</v>
      </c>
      <c r="M18" s="207" t="s">
        <v>120</v>
      </c>
      <c r="N18" s="88"/>
      <c r="O18" s="129"/>
      <c r="P18" s="89"/>
      <c r="Q18" s="89"/>
      <c r="R18" s="89"/>
      <c r="Z18" s="37" t="str">
        <f>+'%Analysis'!A20</f>
        <v>Coleman</v>
      </c>
    </row>
    <row r="19" spans="1:28" ht="18" customHeight="1" thickBot="1" x14ac:dyDescent="0.25">
      <c r="A19" s="132"/>
      <c r="B19" s="106"/>
      <c r="C19" s="99">
        <f>SUM(C7:C18)</f>
        <v>106</v>
      </c>
      <c r="D19" s="100">
        <f>SUM(D7:D18)</f>
        <v>100</v>
      </c>
      <c r="E19" s="105">
        <f>SUM(E7:E18)</f>
        <v>106</v>
      </c>
      <c r="F19" s="199">
        <f>L90</f>
        <v>8.8091822652371102E-2</v>
      </c>
      <c r="G19" s="201">
        <f>M90</f>
        <v>7.4337599734606741E-2</v>
      </c>
      <c r="H19" s="208"/>
      <c r="I19" s="209"/>
      <c r="J19" s="210"/>
      <c r="K19" s="211"/>
      <c r="L19" s="199">
        <f>+K90</f>
        <v>0</v>
      </c>
      <c r="M19" s="201">
        <f>(Q153/Q154)/$B$88</f>
        <v>3.4565168470143239E-3</v>
      </c>
      <c r="N19" s="88"/>
      <c r="O19" s="126"/>
      <c r="P19" s="66"/>
      <c r="Q19" s="90"/>
      <c r="R19" s="90"/>
      <c r="Z19" s="37" t="str">
        <f>+'%Analysis'!A21</f>
        <v>CoOxide</v>
      </c>
    </row>
    <row r="20" spans="1:28" ht="21" customHeight="1" x14ac:dyDescent="0.3">
      <c r="A20" s="132"/>
      <c r="B20" s="29"/>
      <c r="C20" s="107"/>
      <c r="D20" s="108"/>
      <c r="E20" s="109"/>
      <c r="F20" s="110"/>
      <c r="G20" s="109"/>
      <c r="H20" s="115"/>
      <c r="J20" s="111"/>
      <c r="K20" s="111"/>
      <c r="L20" s="111"/>
      <c r="M20" s="111"/>
      <c r="N20" s="91"/>
      <c r="O20" s="130"/>
      <c r="P20" s="63"/>
      <c r="Q20" s="63"/>
      <c r="R20" s="63"/>
      <c r="Z20" s="37" t="str">
        <f>+'%Analysis'!A22</f>
        <v>Corn Old</v>
      </c>
    </row>
    <row r="21" spans="1:28" s="70" customFormat="1" ht="19.5" customHeight="1" x14ac:dyDescent="0.2">
      <c r="A21" s="135"/>
      <c r="B21" s="92"/>
      <c r="C21" s="68"/>
      <c r="D21" s="93"/>
      <c r="E21" s="42"/>
      <c r="F21" s="91"/>
      <c r="G21" s="68"/>
      <c r="H21" s="91"/>
      <c r="I21" s="68"/>
      <c r="J21" s="67"/>
      <c r="K21" s="91"/>
      <c r="L21" s="68"/>
      <c r="M21" s="67"/>
      <c r="N21" s="67"/>
      <c r="O21" s="119"/>
      <c r="P21" s="63"/>
      <c r="Q21" s="63"/>
      <c r="R21" s="63"/>
      <c r="S21" s="69"/>
      <c r="T21" s="69"/>
      <c r="U21" s="69"/>
      <c r="V21" s="69"/>
      <c r="W21" s="69"/>
      <c r="X21" s="69"/>
      <c r="Y21" s="69"/>
      <c r="Z21" s="37" t="str">
        <f>+'%Analysis'!A23</f>
        <v>Cornwall</v>
      </c>
      <c r="AA21" s="69"/>
      <c r="AB21" s="69"/>
    </row>
    <row r="22" spans="1:28" s="70" customFormat="1" ht="19.5" customHeight="1" x14ac:dyDescent="0.2">
      <c r="A22" s="135"/>
      <c r="B22" s="92"/>
      <c r="C22" s="68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55"/>
      <c r="O22" s="119"/>
      <c r="P22" s="63"/>
      <c r="Q22" s="63"/>
      <c r="R22" s="63"/>
      <c r="S22" s="69"/>
      <c r="T22" s="69"/>
      <c r="U22" s="69"/>
      <c r="V22" s="69"/>
      <c r="W22" s="69"/>
      <c r="X22" s="69"/>
      <c r="Y22" s="69"/>
      <c r="Z22" s="37" t="str">
        <f>+'%Analysis'!A24</f>
        <v>Cu2O</v>
      </c>
      <c r="AA22" s="69"/>
      <c r="AB22" s="69"/>
    </row>
    <row r="23" spans="1:28" x14ac:dyDescent="0.2"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13"/>
      <c r="O23" s="13"/>
      <c r="Z23" s="37" t="str">
        <f>+'%Analysis'!A25</f>
        <v>CuCarb</v>
      </c>
    </row>
    <row r="24" spans="1:28" x14ac:dyDescent="0.2"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13"/>
      <c r="O24" s="13"/>
      <c r="Z24" s="37" t="str">
        <f>+'%Analysis'!A26</f>
        <v>Custer</v>
      </c>
    </row>
    <row r="25" spans="1:28" x14ac:dyDescent="0.2"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13"/>
      <c r="O25" s="13"/>
      <c r="Z25" s="37" t="str">
        <f>+'%Analysis'!A27</f>
        <v>Custer - Old</v>
      </c>
    </row>
    <row r="26" spans="1:28" x14ac:dyDescent="0.2">
      <c r="B26" s="41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13"/>
      <c r="O26" s="13"/>
      <c r="Z26" s="37" t="str">
        <f>+'%Analysis'!A28</f>
        <v>Dolomite</v>
      </c>
    </row>
    <row r="27" spans="1:28" x14ac:dyDescent="0.2">
      <c r="D27" s="39"/>
      <c r="E27" s="44"/>
      <c r="F27" s="13"/>
      <c r="G27" s="13"/>
      <c r="H27" s="13"/>
      <c r="I27" s="13"/>
      <c r="J27" s="13"/>
      <c r="K27" s="13"/>
      <c r="L27" s="13"/>
      <c r="M27" s="13"/>
      <c r="N27" s="13"/>
      <c r="O27" s="13"/>
      <c r="Z27" s="37" t="str">
        <f>+'%Analysis'!A29</f>
        <v>EPK</v>
      </c>
    </row>
    <row r="28" spans="1:28" s="45" customFormat="1" ht="15" x14ac:dyDescent="0.2">
      <c r="A28" s="137"/>
      <c r="C28" s="46" t="s">
        <v>75</v>
      </c>
      <c r="D28" s="47"/>
      <c r="E28" s="44"/>
      <c r="F28" s="33"/>
      <c r="G28" s="40"/>
      <c r="H28" s="42"/>
      <c r="I28" s="19"/>
      <c r="J28" s="19"/>
      <c r="K28" s="13"/>
      <c r="L28" s="13"/>
      <c r="M28" s="19"/>
      <c r="N28" s="19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37" t="str">
        <f>+'%Analysis'!A30</f>
        <v>EPK - Calcined</v>
      </c>
      <c r="AA28" s="19"/>
      <c r="AB28" s="19"/>
    </row>
    <row r="29" spans="1:28" s="19" customFormat="1" x14ac:dyDescent="0.2">
      <c r="A29" s="53"/>
      <c r="B29" s="21" t="s">
        <v>58</v>
      </c>
      <c r="C29" s="21" t="s">
        <v>2</v>
      </c>
      <c r="D29" s="8" t="s">
        <v>3</v>
      </c>
      <c r="E29" s="9" t="s">
        <v>4</v>
      </c>
      <c r="F29" s="21" t="s">
        <v>5</v>
      </c>
      <c r="G29" s="21" t="s">
        <v>6</v>
      </c>
      <c r="H29" s="10" t="s">
        <v>9</v>
      </c>
      <c r="I29" s="21" t="s">
        <v>7</v>
      </c>
      <c r="J29" s="21" t="s">
        <v>8</v>
      </c>
      <c r="K29" s="21" t="s">
        <v>12</v>
      </c>
      <c r="L29" s="22" t="s">
        <v>10</v>
      </c>
      <c r="M29" s="22" t="s">
        <v>13</v>
      </c>
      <c r="N29" s="21" t="s">
        <v>56</v>
      </c>
      <c r="Z29" s="37" t="str">
        <f>+'%Analysis'!A31</f>
        <v>Fe2O3</v>
      </c>
    </row>
    <row r="30" spans="1:28" s="19" customFormat="1" ht="15" customHeight="1" x14ac:dyDescent="0.2">
      <c r="A30" s="53"/>
      <c r="B30" s="12">
        <v>1</v>
      </c>
      <c r="C30" s="120">
        <v>1</v>
      </c>
      <c r="D30" s="120"/>
      <c r="E30" s="120"/>
      <c r="F30" s="120"/>
      <c r="G30" s="120"/>
      <c r="H30" s="120"/>
      <c r="I30" s="120"/>
      <c r="J30" s="120"/>
      <c r="K30" s="120">
        <v>2.1190000000000002</v>
      </c>
      <c r="L30" s="120"/>
      <c r="M30" s="12">
        <v>2.8530000000000002</v>
      </c>
      <c r="N30" s="12">
        <v>630</v>
      </c>
      <c r="Z30" s="37" t="str">
        <f>+'%Analysis'!A32</f>
        <v>Ferro3110</v>
      </c>
    </row>
    <row r="31" spans="1:28" s="19" customFormat="1" ht="15" customHeight="1" x14ac:dyDescent="0.2">
      <c r="A31" s="53"/>
      <c r="B31" s="12">
        <v>2</v>
      </c>
      <c r="C31" s="120">
        <v>1</v>
      </c>
      <c r="D31" s="120"/>
      <c r="E31" s="120"/>
      <c r="F31" s="120"/>
      <c r="G31" s="121"/>
      <c r="H31" s="120"/>
      <c r="I31" s="120"/>
      <c r="J31" s="120"/>
      <c r="K31" s="120"/>
      <c r="L31" s="120">
        <v>9.7199999999999995E-2</v>
      </c>
      <c r="M31" s="120">
        <v>3.4243000000000001</v>
      </c>
      <c r="N31" s="12">
        <v>695</v>
      </c>
      <c r="Z31" s="37" t="str">
        <f>+'%Analysis'!A33</f>
        <v>Ferro3124</v>
      </c>
    </row>
    <row r="32" spans="1:28" s="19" customFormat="1" ht="15" customHeight="1" x14ac:dyDescent="0.2">
      <c r="A32" s="53"/>
      <c r="B32" s="12">
        <v>3</v>
      </c>
      <c r="C32" s="120"/>
      <c r="D32" s="120">
        <v>1</v>
      </c>
      <c r="E32" s="120"/>
      <c r="F32" s="120"/>
      <c r="G32" s="121"/>
      <c r="H32" s="120"/>
      <c r="I32" s="120"/>
      <c r="J32" s="120"/>
      <c r="K32" s="120"/>
      <c r="L32" s="120">
        <v>0.29220000000000002</v>
      </c>
      <c r="M32" s="120">
        <v>2.44</v>
      </c>
      <c r="N32" s="12">
        <v>732</v>
      </c>
      <c r="Z32" s="37" t="str">
        <f>+'%Analysis'!A34</f>
        <v>Ferro3134</v>
      </c>
    </row>
    <row r="33" spans="1:28" ht="15" customHeight="1" x14ac:dyDescent="0.2">
      <c r="A33" s="53"/>
      <c r="B33" s="12">
        <v>4</v>
      </c>
      <c r="C33" s="120"/>
      <c r="D33" s="120">
        <v>1</v>
      </c>
      <c r="E33" s="120"/>
      <c r="F33" s="120"/>
      <c r="G33" s="120"/>
      <c r="H33" s="120"/>
      <c r="I33" s="120"/>
      <c r="J33" s="120"/>
      <c r="K33" s="120">
        <v>1.3</v>
      </c>
      <c r="L33" s="120"/>
      <c r="M33" s="12">
        <v>1.73</v>
      </c>
      <c r="N33" s="12">
        <v>790</v>
      </c>
      <c r="Z33" s="37" t="str">
        <f>+'%Analysis'!A35</f>
        <v>Ferro3195</v>
      </c>
    </row>
    <row r="34" spans="1:28" ht="15" customHeight="1" x14ac:dyDescent="0.2">
      <c r="A34" s="53"/>
      <c r="B34" s="12">
        <v>5</v>
      </c>
      <c r="C34" s="120"/>
      <c r="D34" s="120"/>
      <c r="E34" s="120">
        <v>1</v>
      </c>
      <c r="F34" s="120"/>
      <c r="G34" s="120"/>
      <c r="H34" s="120"/>
      <c r="I34" s="120"/>
      <c r="J34" s="120"/>
      <c r="K34" s="120">
        <v>0.7</v>
      </c>
      <c r="L34" s="120"/>
      <c r="M34" s="12">
        <v>0.3</v>
      </c>
      <c r="N34" s="12">
        <v>802</v>
      </c>
      <c r="Z34" s="37" t="str">
        <f>+'%Analysis'!A36</f>
        <v>Flint</v>
      </c>
    </row>
    <row r="35" spans="1:28" ht="15" customHeight="1" x14ac:dyDescent="0.2">
      <c r="A35" s="53"/>
      <c r="B35" s="12">
        <v>6</v>
      </c>
      <c r="C35" s="120"/>
      <c r="D35" s="120"/>
      <c r="E35" s="120"/>
      <c r="F35" s="120">
        <v>1</v>
      </c>
      <c r="G35" s="120"/>
      <c r="H35" s="120"/>
      <c r="I35" s="120"/>
      <c r="J35" s="120"/>
      <c r="K35" s="120">
        <v>1.51</v>
      </c>
      <c r="L35" s="120"/>
      <c r="M35" s="12">
        <v>0</v>
      </c>
      <c r="N35" s="12">
        <v>990</v>
      </c>
      <c r="Z35" s="37" t="str">
        <f>+'%Analysis'!A37</f>
        <v>G-200</v>
      </c>
    </row>
    <row r="36" spans="1:28" ht="15" customHeight="1" x14ac:dyDescent="0.2">
      <c r="A36" s="53"/>
      <c r="B36" s="12">
        <v>7</v>
      </c>
      <c r="C36" s="120"/>
      <c r="D36" s="120"/>
      <c r="E36" s="120">
        <v>1</v>
      </c>
      <c r="F36" s="120"/>
      <c r="G36" s="121"/>
      <c r="H36" s="120"/>
      <c r="I36" s="120"/>
      <c r="J36" s="120"/>
      <c r="K36" s="120"/>
      <c r="L36" s="120">
        <v>0.22800000000000001</v>
      </c>
      <c r="M36" s="120">
        <v>1.6838</v>
      </c>
      <c r="N36" s="12">
        <v>1026</v>
      </c>
      <c r="O36" s="19" t="s">
        <v>76</v>
      </c>
      <c r="P36" s="19" t="s">
        <v>77</v>
      </c>
      <c r="Z36" s="37" t="str">
        <f>+'%Analysis'!A38</f>
        <v>G200 HP</v>
      </c>
    </row>
    <row r="37" spans="1:28" ht="15" customHeight="1" x14ac:dyDescent="0.2">
      <c r="A37" s="53"/>
      <c r="B37" s="12">
        <v>8</v>
      </c>
      <c r="C37" s="120"/>
      <c r="D37" s="120"/>
      <c r="E37" s="120"/>
      <c r="F37" s="120">
        <v>0.54400000000000004</v>
      </c>
      <c r="G37" s="120"/>
      <c r="H37" s="120"/>
      <c r="I37" s="120"/>
      <c r="J37" s="120">
        <v>0.45600000000000002</v>
      </c>
      <c r="K37" s="120"/>
      <c r="L37" s="120">
        <v>0.1326</v>
      </c>
      <c r="M37" s="120">
        <v>1.3943000000000001</v>
      </c>
      <c r="N37" s="12">
        <v>1030</v>
      </c>
      <c r="O37" s="19">
        <f>+F37/J37</f>
        <v>1.1929824561403508</v>
      </c>
      <c r="P37" s="19">
        <f>+J37/F37</f>
        <v>0.83823529411764708</v>
      </c>
      <c r="Z37" s="37" t="str">
        <f>+'%Analysis'!A39</f>
        <v>Gerstley Borate</v>
      </c>
    </row>
    <row r="38" spans="1:28" ht="15" customHeight="1" x14ac:dyDescent="0.2">
      <c r="A38" s="53"/>
      <c r="B38" s="12">
        <v>9</v>
      </c>
      <c r="C38" s="120"/>
      <c r="D38" s="120"/>
      <c r="E38" s="120"/>
      <c r="F38" s="120"/>
      <c r="G38" s="120"/>
      <c r="H38" s="120">
        <v>1</v>
      </c>
      <c r="I38" s="120"/>
      <c r="J38" s="120"/>
      <c r="K38" s="120"/>
      <c r="L38" s="120">
        <v>0.40579999999999999</v>
      </c>
      <c r="M38" s="120">
        <v>4.0090000000000003</v>
      </c>
      <c r="N38" s="12">
        <v>1122</v>
      </c>
      <c r="Z38" s="37" t="str">
        <f>+'%Analysis'!A40</f>
        <v>Gerstley Borate - 1999</v>
      </c>
    </row>
    <row r="39" spans="1:28" ht="15" customHeight="1" x14ac:dyDescent="0.2">
      <c r="A39" s="53"/>
      <c r="B39" s="12">
        <v>10</v>
      </c>
      <c r="C39" s="120"/>
      <c r="D39" s="120"/>
      <c r="E39" s="120"/>
      <c r="F39" s="120">
        <v>1</v>
      </c>
      <c r="G39" s="120"/>
      <c r="H39" s="120"/>
      <c r="I39" s="120"/>
      <c r="J39" s="120"/>
      <c r="K39" s="120"/>
      <c r="L39" s="120">
        <v>0.34889999999999999</v>
      </c>
      <c r="M39" s="120">
        <v>2.4887999999999999</v>
      </c>
      <c r="N39" s="12">
        <v>1165</v>
      </c>
      <c r="Z39" s="37" t="str">
        <f>+'%Analysis'!A41</f>
        <v>Gillespie Borate</v>
      </c>
    </row>
    <row r="40" spans="1:28" ht="15" customHeight="1" x14ac:dyDescent="0.2">
      <c r="A40" s="53"/>
      <c r="B40" s="12">
        <v>11</v>
      </c>
      <c r="C40" s="120"/>
      <c r="D40" s="120"/>
      <c r="E40" s="120"/>
      <c r="F40" s="120"/>
      <c r="G40" s="120"/>
      <c r="H40" s="120"/>
      <c r="I40" s="120">
        <v>1</v>
      </c>
      <c r="J40" s="120"/>
      <c r="K40" s="120"/>
      <c r="L40" s="120">
        <v>0.21440000000000001</v>
      </c>
      <c r="M40" s="120">
        <v>2.8</v>
      </c>
      <c r="N40" s="12">
        <v>1176</v>
      </c>
      <c r="Z40" s="37" t="str">
        <f>+'%Analysis'!A42</f>
        <v>Goldart</v>
      </c>
    </row>
    <row r="41" spans="1:28" ht="15" customHeight="1" x14ac:dyDescent="0.2">
      <c r="A41" s="53"/>
      <c r="B41" s="12">
        <v>12</v>
      </c>
      <c r="C41" s="120"/>
      <c r="D41" s="120"/>
      <c r="E41" s="120"/>
      <c r="F41" s="120"/>
      <c r="G41" s="120">
        <v>1</v>
      </c>
      <c r="H41" s="120"/>
      <c r="I41" s="120"/>
      <c r="J41" s="120"/>
      <c r="K41" s="120"/>
      <c r="L41" s="120">
        <v>0.33739999999999998</v>
      </c>
      <c r="M41" s="120">
        <v>2.0287000000000002</v>
      </c>
      <c r="N41" s="12">
        <v>1350</v>
      </c>
      <c r="Z41" s="37" t="str">
        <f>+'%Analysis'!A43</f>
        <v>Grolleg</v>
      </c>
    </row>
    <row r="42" spans="1:28" x14ac:dyDescent="0.2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Q42" s="23"/>
      <c r="R42" s="23"/>
      <c r="Z42" s="37" t="str">
        <f>+'%Analysis'!A44</f>
        <v>K2CO3</v>
      </c>
    </row>
    <row r="43" spans="1:28" s="45" customFormat="1" ht="15" x14ac:dyDescent="0.2">
      <c r="A43" s="137"/>
      <c r="C43" s="46" t="s">
        <v>89</v>
      </c>
      <c r="D43" s="47"/>
      <c r="E43" s="44"/>
      <c r="F43" s="33"/>
      <c r="G43" s="40"/>
      <c r="H43" s="42"/>
      <c r="I43" s="19"/>
      <c r="J43" s="19"/>
      <c r="K43" s="13"/>
      <c r="L43" s="13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37" t="str">
        <f>+'%Analysis'!A45</f>
        <v>K2O</v>
      </c>
      <c r="AA43" s="19"/>
      <c r="AB43" s="19"/>
    </row>
    <row r="44" spans="1:28" s="19" customFormat="1" x14ac:dyDescent="0.2">
      <c r="A44" s="53"/>
      <c r="B44" s="21" t="s">
        <v>58</v>
      </c>
      <c r="C44" s="21" t="s">
        <v>2</v>
      </c>
      <c r="D44" s="8" t="s">
        <v>3</v>
      </c>
      <c r="E44" s="9" t="s">
        <v>4</v>
      </c>
      <c r="F44" s="21" t="s">
        <v>5</v>
      </c>
      <c r="G44" s="21" t="s">
        <v>6</v>
      </c>
      <c r="H44" s="10" t="s">
        <v>9</v>
      </c>
      <c r="I44" s="21" t="s">
        <v>7</v>
      </c>
      <c r="J44" s="21" t="s">
        <v>8</v>
      </c>
      <c r="K44" s="21" t="s">
        <v>12</v>
      </c>
      <c r="L44" s="22" t="s">
        <v>10</v>
      </c>
      <c r="M44" s="22" t="s">
        <v>13</v>
      </c>
      <c r="N44" s="21" t="s">
        <v>56</v>
      </c>
      <c r="Z44" s="37" t="str">
        <f>+'%Analysis'!A46</f>
        <v>Kaolin</v>
      </c>
    </row>
    <row r="45" spans="1:28" s="19" customFormat="1" ht="15" customHeight="1" x14ac:dyDescent="0.2">
      <c r="A45" s="53"/>
      <c r="B45" s="12">
        <v>1</v>
      </c>
      <c r="C45" s="48">
        <v>22.8</v>
      </c>
      <c r="D45" s="48"/>
      <c r="E45" s="48"/>
      <c r="F45" s="48"/>
      <c r="G45" s="48"/>
      <c r="H45" s="48"/>
      <c r="I45" s="48"/>
      <c r="J45" s="48"/>
      <c r="K45" s="48">
        <v>35.700000000000003</v>
      </c>
      <c r="L45" s="48"/>
      <c r="M45" s="48">
        <v>41.5</v>
      </c>
      <c r="N45" s="12">
        <v>630</v>
      </c>
      <c r="O45" s="52">
        <f t="shared" ref="O45:O56" si="3">SUM(C45:M45)</f>
        <v>100</v>
      </c>
      <c r="Z45" s="37" t="str">
        <f>+'%Analysis'!A47</f>
        <v>KFeld</v>
      </c>
    </row>
    <row r="46" spans="1:28" s="19" customFormat="1" ht="15" customHeight="1" x14ac:dyDescent="0.2">
      <c r="A46" s="53"/>
      <c r="B46" s="12">
        <v>2</v>
      </c>
      <c r="C46" s="48">
        <v>30.4</v>
      </c>
      <c r="D46" s="48"/>
      <c r="E46" s="48"/>
      <c r="F46" s="48"/>
      <c r="G46" s="49"/>
      <c r="H46" s="48"/>
      <c r="I46" s="48"/>
      <c r="J46" s="48"/>
      <c r="K46" s="48"/>
      <c r="L46" s="48">
        <v>3.2</v>
      </c>
      <c r="M46" s="48">
        <v>66.400000000000006</v>
      </c>
      <c r="N46" s="12">
        <v>695</v>
      </c>
      <c r="O46" s="52">
        <f t="shared" si="3"/>
        <v>100</v>
      </c>
      <c r="Z46" s="37" t="str">
        <f>+'%Analysis'!A48</f>
        <v>Kingman</v>
      </c>
    </row>
    <row r="47" spans="1:28" s="19" customFormat="1" ht="15" customHeight="1" x14ac:dyDescent="0.2">
      <c r="A47" s="53"/>
      <c r="B47" s="12">
        <v>3</v>
      </c>
      <c r="C47" s="48"/>
      <c r="D47" s="48">
        <v>26</v>
      </c>
      <c r="E47" s="48"/>
      <c r="F47" s="48"/>
      <c r="G47" s="49"/>
      <c r="H47" s="48"/>
      <c r="I47" s="48"/>
      <c r="J47" s="48"/>
      <c r="K47" s="48"/>
      <c r="L47" s="48">
        <v>12.5</v>
      </c>
      <c r="M47" s="48">
        <v>61.5</v>
      </c>
      <c r="N47" s="12">
        <v>732</v>
      </c>
      <c r="O47" s="52">
        <f t="shared" si="3"/>
        <v>100</v>
      </c>
      <c r="Z47" s="37" t="str">
        <f>+'%Analysis'!A49</f>
        <v>KonaF-4</v>
      </c>
    </row>
    <row r="48" spans="1:28" ht="15" customHeight="1" x14ac:dyDescent="0.2">
      <c r="A48" s="53"/>
      <c r="B48" s="154">
        <v>4</v>
      </c>
      <c r="C48" s="155"/>
      <c r="D48" s="155">
        <v>24.2</v>
      </c>
      <c r="E48" s="155"/>
      <c r="F48" s="155"/>
      <c r="G48" s="155"/>
      <c r="H48" s="155"/>
      <c r="I48" s="155"/>
      <c r="J48" s="155"/>
      <c r="K48" s="155">
        <v>35.200000000000003</v>
      </c>
      <c r="L48" s="155"/>
      <c r="M48" s="155">
        <v>40.6</v>
      </c>
      <c r="N48" s="154">
        <v>790</v>
      </c>
      <c r="O48" s="52">
        <f t="shared" si="3"/>
        <v>100</v>
      </c>
      <c r="Z48" s="37" t="str">
        <f>+'%Analysis'!A50</f>
        <v>Leucite</v>
      </c>
    </row>
    <row r="49" spans="1:26" ht="15" customHeight="1" x14ac:dyDescent="0.2">
      <c r="A49" s="53"/>
      <c r="B49" s="12">
        <v>5</v>
      </c>
      <c r="C49" s="155"/>
      <c r="D49" s="155"/>
      <c r="E49" s="155">
        <v>30.9</v>
      </c>
      <c r="F49" s="155"/>
      <c r="G49" s="155"/>
      <c r="H49" s="155"/>
      <c r="I49" s="155"/>
      <c r="J49" s="155"/>
      <c r="K49" s="155">
        <v>50.4</v>
      </c>
      <c r="L49" s="155"/>
      <c r="M49" s="155">
        <v>18.7</v>
      </c>
      <c r="N49" s="12">
        <v>802</v>
      </c>
      <c r="O49" s="52">
        <f t="shared" si="3"/>
        <v>100</v>
      </c>
      <c r="Z49" s="37" t="str">
        <f>+'%Analysis'!A51</f>
        <v>Li2O</v>
      </c>
    </row>
    <row r="50" spans="1:26" ht="15" customHeight="1" x14ac:dyDescent="0.2">
      <c r="A50" s="53"/>
      <c r="B50" s="12">
        <v>6</v>
      </c>
      <c r="C50" s="48"/>
      <c r="D50" s="48"/>
      <c r="E50" s="48"/>
      <c r="F50" s="48">
        <v>65.209999999999994</v>
      </c>
      <c r="G50" s="48"/>
      <c r="H50" s="48"/>
      <c r="I50" s="48"/>
      <c r="J50" s="48"/>
      <c r="K50" s="48">
        <v>34.79</v>
      </c>
      <c r="L50" s="48"/>
      <c r="M50" s="48"/>
      <c r="N50" s="12">
        <v>990</v>
      </c>
      <c r="O50" s="52">
        <f t="shared" si="3"/>
        <v>100</v>
      </c>
      <c r="Z50" s="37" t="str">
        <f>+'%Analysis'!A52</f>
        <v>LiCarb</v>
      </c>
    </row>
    <row r="51" spans="1:26" ht="15" customHeight="1" x14ac:dyDescent="0.2">
      <c r="A51" s="53"/>
      <c r="B51" s="12">
        <v>7</v>
      </c>
      <c r="C51" s="155"/>
      <c r="D51" s="155"/>
      <c r="E51" s="155">
        <v>19.366</v>
      </c>
      <c r="F51" s="155"/>
      <c r="G51" s="164"/>
      <c r="H51" s="155"/>
      <c r="I51" s="155"/>
      <c r="J51" s="155"/>
      <c r="K51" s="155"/>
      <c r="L51" s="155">
        <v>15.067</v>
      </c>
      <c r="M51" s="155">
        <v>65.566999999999993</v>
      </c>
      <c r="N51" s="12">
        <v>1026</v>
      </c>
      <c r="O51" s="52">
        <f t="shared" si="3"/>
        <v>100</v>
      </c>
      <c r="Z51" s="37" t="str">
        <f>+'%Analysis'!A53</f>
        <v>LiSilicate</v>
      </c>
    </row>
    <row r="52" spans="1:26" ht="15" customHeight="1" x14ac:dyDescent="0.2">
      <c r="A52" s="53"/>
      <c r="B52" s="154">
        <v>8</v>
      </c>
      <c r="C52" s="155"/>
      <c r="D52" s="155"/>
      <c r="E52" s="155"/>
      <c r="F52" s="155">
        <v>18.5</v>
      </c>
      <c r="G52" s="155"/>
      <c r="H52" s="155"/>
      <c r="I52" s="155"/>
      <c r="J52" s="155">
        <v>22.5</v>
      </c>
      <c r="K52" s="155"/>
      <c r="L52" s="155">
        <v>8.1999999999999993</v>
      </c>
      <c r="M52" s="155">
        <v>50.8</v>
      </c>
      <c r="N52" s="12">
        <v>1030</v>
      </c>
      <c r="O52" s="52">
        <f t="shared" si="3"/>
        <v>100</v>
      </c>
      <c r="Z52" s="37" t="str">
        <f>+'%Analysis'!A54</f>
        <v>Macaloid</v>
      </c>
    </row>
    <row r="53" spans="1:26" ht="15" customHeight="1" x14ac:dyDescent="0.2">
      <c r="A53" s="53"/>
      <c r="B53" s="12">
        <v>9</v>
      </c>
      <c r="C53" s="48"/>
      <c r="D53" s="48"/>
      <c r="E53" s="48"/>
      <c r="F53" s="48"/>
      <c r="G53" s="48"/>
      <c r="H53" s="48">
        <v>35.200000000000003</v>
      </c>
      <c r="I53" s="48"/>
      <c r="J53" s="48"/>
      <c r="K53" s="48"/>
      <c r="L53" s="48">
        <v>9.5</v>
      </c>
      <c r="M53" s="48">
        <v>55.3</v>
      </c>
      <c r="N53" s="12">
        <v>1122</v>
      </c>
      <c r="O53" s="52">
        <f t="shared" si="3"/>
        <v>100</v>
      </c>
      <c r="Z53" s="37" t="str">
        <f>+'%Analysis'!A55</f>
        <v>MgCarb</v>
      </c>
    </row>
    <row r="54" spans="1:26" ht="15" customHeight="1" x14ac:dyDescent="0.2">
      <c r="A54" s="53"/>
      <c r="B54" s="12">
        <v>10</v>
      </c>
      <c r="C54" s="48"/>
      <c r="D54" s="48"/>
      <c r="E54" s="48"/>
      <c r="F54" s="48">
        <v>23.25</v>
      </c>
      <c r="G54" s="48"/>
      <c r="H54" s="48"/>
      <c r="I54" s="48"/>
      <c r="J54" s="48"/>
      <c r="K54" s="48"/>
      <c r="L54" s="48">
        <v>14.75</v>
      </c>
      <c r="M54" s="48">
        <v>62</v>
      </c>
      <c r="N54" s="12">
        <v>1165</v>
      </c>
      <c r="O54" s="52">
        <f t="shared" si="3"/>
        <v>100</v>
      </c>
      <c r="Z54" s="37" t="str">
        <f>+'%Analysis'!A56</f>
        <v>MgO</v>
      </c>
    </row>
    <row r="55" spans="1:26" ht="15" customHeight="1" x14ac:dyDescent="0.2">
      <c r="A55" s="53"/>
      <c r="B55" s="12">
        <v>11</v>
      </c>
      <c r="C55" s="48"/>
      <c r="D55" s="48"/>
      <c r="E55" s="48"/>
      <c r="F55" s="48"/>
      <c r="G55" s="48"/>
      <c r="H55" s="48"/>
      <c r="I55" s="48">
        <v>35.277999999999999</v>
      </c>
      <c r="J55" s="48"/>
      <c r="K55" s="48"/>
      <c r="L55" s="48">
        <v>7.4429999999999996</v>
      </c>
      <c r="M55" s="48">
        <v>57.277999999999999</v>
      </c>
      <c r="N55" s="12">
        <v>1176</v>
      </c>
      <c r="O55" s="52">
        <f t="shared" si="3"/>
        <v>99.998999999999995</v>
      </c>
      <c r="Z55" s="37" t="str">
        <f>+'%Analysis'!A57</f>
        <v>Mahavir Feldspar</v>
      </c>
    </row>
    <row r="56" spans="1:26" ht="15" customHeight="1" x14ac:dyDescent="0.2">
      <c r="A56" s="53"/>
      <c r="B56" s="12">
        <v>12</v>
      </c>
      <c r="C56" s="48"/>
      <c r="D56" s="48"/>
      <c r="E56" s="48"/>
      <c r="F56" s="48"/>
      <c r="G56" s="48">
        <v>20.5</v>
      </c>
      <c r="H56" s="48"/>
      <c r="I56" s="48"/>
      <c r="J56" s="48"/>
      <c r="K56" s="48"/>
      <c r="L56" s="48">
        <v>17.5</v>
      </c>
      <c r="M56" s="48">
        <v>62</v>
      </c>
      <c r="N56" s="12">
        <v>1350</v>
      </c>
      <c r="O56" s="52">
        <f t="shared" si="3"/>
        <v>100</v>
      </c>
      <c r="Z56" s="37" t="str">
        <f>+'%Analysis'!A58</f>
        <v>Minspar 200</v>
      </c>
    </row>
    <row r="57" spans="1:26" x14ac:dyDescent="0.2">
      <c r="A57" s="5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/>
      <c r="Q57" s="23"/>
      <c r="R57" s="23"/>
      <c r="Z57" s="37" t="str">
        <f>+'%Analysis'!A59</f>
        <v>MnCarb</v>
      </c>
    </row>
    <row r="58" spans="1:26" x14ac:dyDescent="0.2">
      <c r="A58" s="5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Q58" s="23"/>
      <c r="R58" s="23"/>
      <c r="Z58" s="37" t="str">
        <f>+'%Analysis'!A60</f>
        <v>MnO2</v>
      </c>
    </row>
    <row r="59" spans="1:26" ht="13.5" thickBot="1" x14ac:dyDescent="0.25">
      <c r="A59" s="53"/>
      <c r="B59" s="37"/>
      <c r="C59" s="74" t="s">
        <v>90</v>
      </c>
      <c r="D59" s="75"/>
      <c r="E59" s="75"/>
      <c r="F59" s="75"/>
      <c r="G59" s="75"/>
      <c r="H59" s="37"/>
      <c r="I59" s="37"/>
      <c r="J59" s="37"/>
      <c r="K59" s="37"/>
      <c r="L59" s="37"/>
      <c r="M59" s="34"/>
      <c r="O59" s="143" t="s">
        <v>59</v>
      </c>
      <c r="P59" s="144"/>
      <c r="R59" s="37" t="s">
        <v>60</v>
      </c>
      <c r="S59" s="144"/>
      <c r="T59" s="77" t="s">
        <v>99</v>
      </c>
      <c r="U59" s="76"/>
      <c r="V59" s="77" t="s">
        <v>100</v>
      </c>
      <c r="W59" s="76"/>
      <c r="X59" s="77" t="s">
        <v>60</v>
      </c>
      <c r="Y59" s="77"/>
      <c r="Z59" s="37" t="str">
        <f>+'%Analysis'!A61</f>
        <v>Na2CO3</v>
      </c>
    </row>
    <row r="60" spans="1:26" x14ac:dyDescent="0.2">
      <c r="A60" s="138" t="s">
        <v>58</v>
      </c>
      <c r="B60" s="78"/>
      <c r="C60" s="79" t="s">
        <v>2</v>
      </c>
      <c r="D60" s="79" t="s">
        <v>3</v>
      </c>
      <c r="E60" s="79" t="s">
        <v>4</v>
      </c>
      <c r="F60" s="79" t="s">
        <v>5</v>
      </c>
      <c r="G60" s="79" t="s">
        <v>6</v>
      </c>
      <c r="H60" s="80" t="s">
        <v>9</v>
      </c>
      <c r="I60" s="79" t="s">
        <v>7</v>
      </c>
      <c r="J60" s="79" t="s">
        <v>8</v>
      </c>
      <c r="K60" s="79" t="s">
        <v>12</v>
      </c>
      <c r="L60" s="79" t="s">
        <v>10</v>
      </c>
      <c r="M60" s="142" t="s">
        <v>13</v>
      </c>
      <c r="N60" s="151" t="s">
        <v>12</v>
      </c>
      <c r="O60" s="145" t="s">
        <v>10</v>
      </c>
      <c r="P60" s="146" t="s">
        <v>13</v>
      </c>
      <c r="Q60" s="151" t="s">
        <v>12</v>
      </c>
      <c r="R60" s="145" t="s">
        <v>10</v>
      </c>
      <c r="S60" s="146" t="s">
        <v>13</v>
      </c>
      <c r="T60" s="150" t="s">
        <v>96</v>
      </c>
      <c r="U60" s="81" t="s">
        <v>8</v>
      </c>
      <c r="V60" s="79" t="s">
        <v>5</v>
      </c>
      <c r="W60" s="79" t="s">
        <v>8</v>
      </c>
      <c r="X60" s="79" t="s">
        <v>5</v>
      </c>
      <c r="Y60" s="79" t="s">
        <v>8</v>
      </c>
      <c r="Z60" s="37" t="str">
        <f>+'%Analysis'!A62</f>
        <v>Na2O</v>
      </c>
    </row>
    <row r="61" spans="1:26" x14ac:dyDescent="0.2">
      <c r="A61" s="138" t="s">
        <v>61</v>
      </c>
      <c r="B61" s="78"/>
      <c r="C61" s="78">
        <f>+H153</f>
        <v>307.74</v>
      </c>
      <c r="D61" s="78">
        <f>+I153</f>
        <v>210.38</v>
      </c>
      <c r="E61" s="78">
        <f>+J153</f>
        <v>0</v>
      </c>
      <c r="F61" s="78">
        <f>+K153</f>
        <v>1360.32</v>
      </c>
      <c r="G61" s="78">
        <f>+M153</f>
        <v>576.94000000000005</v>
      </c>
      <c r="H61" s="78">
        <f>+O153</f>
        <v>0</v>
      </c>
      <c r="I61" s="78">
        <f>+L153</f>
        <v>6.3</v>
      </c>
      <c r="J61" s="78">
        <f>+N153</f>
        <v>0</v>
      </c>
      <c r="K61" s="78">
        <f>+R153</f>
        <v>452.92</v>
      </c>
      <c r="L61" s="78">
        <f>+P153</f>
        <v>1245.6799999999998</v>
      </c>
      <c r="M61" s="123">
        <f>+S153</f>
        <v>4840.62</v>
      </c>
      <c r="N61" s="166"/>
      <c r="O61" s="78"/>
      <c r="P61" s="167"/>
      <c r="Q61" s="166"/>
      <c r="R61" s="78"/>
      <c r="S61" s="167"/>
      <c r="T61" s="124"/>
      <c r="U61" s="78"/>
      <c r="V61" s="78"/>
      <c r="W61" s="78"/>
      <c r="X61" s="78"/>
      <c r="Y61" s="78"/>
      <c r="Z61" s="37" t="str">
        <f>+'%Analysis'!A63</f>
        <v>NaFeld</v>
      </c>
    </row>
    <row r="62" spans="1:26" x14ac:dyDescent="0.2">
      <c r="A62" s="138">
        <v>1</v>
      </c>
      <c r="B62" s="78" t="s">
        <v>91</v>
      </c>
      <c r="C62" s="78">
        <f>IF(AND(N62&lt;=Q62,P62&lt;=S62),C61,MIN(Q62/N62,S62/P62)*C61)</f>
        <v>289.25983193277307</v>
      </c>
      <c r="D62" s="78"/>
      <c r="E62" s="78"/>
      <c r="F62" s="78"/>
      <c r="G62" s="78"/>
      <c r="H62" s="78"/>
      <c r="I62" s="78"/>
      <c r="J62" s="78"/>
      <c r="K62" s="78">
        <f>C62*(K45/C45)</f>
        <v>452.91999999999996</v>
      </c>
      <c r="L62" s="78"/>
      <c r="M62" s="123">
        <f>C62*(M45/C45)</f>
        <v>526.5036414565825</v>
      </c>
      <c r="N62" s="152">
        <f>(K45/C45)*C61</f>
        <v>481.85605263157902</v>
      </c>
      <c r="O62" s="78"/>
      <c r="P62" s="147">
        <f>(M45/C45)*C61</f>
        <v>560.14078947368421</v>
      </c>
      <c r="Q62" s="152">
        <f>+K61</f>
        <v>452.92</v>
      </c>
      <c r="R62" s="78"/>
      <c r="S62" s="147">
        <f>M61</f>
        <v>4840.62</v>
      </c>
      <c r="T62" s="124"/>
      <c r="U62" s="78"/>
      <c r="V62" s="78"/>
      <c r="W62" s="78"/>
      <c r="X62" s="78"/>
      <c r="Y62" s="78"/>
      <c r="Z62" s="37" t="str">
        <f>+'%Analysis'!A64</f>
        <v>NephelineSyenite</v>
      </c>
    </row>
    <row r="63" spans="1:26" x14ac:dyDescent="0.2">
      <c r="A63" s="138">
        <v>1</v>
      </c>
      <c r="B63" s="78" t="s">
        <v>92</v>
      </c>
      <c r="C63" s="78">
        <f>C61-C62</f>
        <v>18.480168067226941</v>
      </c>
      <c r="D63" s="78">
        <f t="shared" ref="D63:M63" si="4">D61-D62</f>
        <v>210.38</v>
      </c>
      <c r="E63" s="78">
        <f t="shared" si="4"/>
        <v>0</v>
      </c>
      <c r="F63" s="78">
        <f t="shared" si="4"/>
        <v>1360.32</v>
      </c>
      <c r="G63" s="78">
        <f t="shared" si="4"/>
        <v>576.94000000000005</v>
      </c>
      <c r="H63" s="78">
        <f t="shared" si="4"/>
        <v>0</v>
      </c>
      <c r="I63" s="78">
        <f t="shared" si="4"/>
        <v>6.3</v>
      </c>
      <c r="J63" s="78">
        <f t="shared" si="4"/>
        <v>0</v>
      </c>
      <c r="K63" s="78">
        <f t="shared" si="4"/>
        <v>0</v>
      </c>
      <c r="L63" s="78">
        <f t="shared" si="4"/>
        <v>1245.6799999999998</v>
      </c>
      <c r="M63" s="123">
        <f t="shared" si="4"/>
        <v>4314.1163585434169</v>
      </c>
      <c r="N63" s="152"/>
      <c r="O63" s="78"/>
      <c r="P63" s="167"/>
      <c r="Q63" s="161"/>
      <c r="R63" s="157"/>
      <c r="S63" s="162"/>
      <c r="T63" s="124"/>
      <c r="U63" s="78"/>
      <c r="V63" s="78"/>
      <c r="W63" s="78"/>
      <c r="X63" s="78"/>
      <c r="Y63" s="78"/>
      <c r="Z63" s="37" t="str">
        <f>+'%Analysis'!A65</f>
        <v>NiCarb</v>
      </c>
    </row>
    <row r="64" spans="1:26" x14ac:dyDescent="0.2">
      <c r="A64" s="138">
        <v>2</v>
      </c>
      <c r="B64" s="78" t="s">
        <v>91</v>
      </c>
      <c r="C64" s="83">
        <f>IF(AND(O64&lt;=R64,P64&lt;=S64),C63,MIN(R64/O64,S64/P64)*C63)</f>
        <v>18.480168067226941</v>
      </c>
      <c r="D64" s="78"/>
      <c r="E64" s="78"/>
      <c r="F64" s="78"/>
      <c r="G64" s="82"/>
      <c r="H64" s="78"/>
      <c r="I64" s="78"/>
      <c r="J64" s="78"/>
      <c r="K64" s="78"/>
      <c r="L64" s="78">
        <f>(L46/C46)*C64</f>
        <v>1.9452808491817835</v>
      </c>
      <c r="M64" s="123">
        <f>(M46/C46)*C64</f>
        <v>40.364577620522013</v>
      </c>
      <c r="N64" s="152"/>
      <c r="O64" s="78">
        <f>(L46/C46)*C63</f>
        <v>1.9452808491817835</v>
      </c>
      <c r="P64" s="147">
        <f>(M46/C46)*C63</f>
        <v>40.364577620522013</v>
      </c>
      <c r="Q64" s="152">
        <f>+K63</f>
        <v>0</v>
      </c>
      <c r="R64" s="78">
        <f>L63</f>
        <v>1245.6799999999998</v>
      </c>
      <c r="S64" s="147">
        <f>M63</f>
        <v>4314.1163585434169</v>
      </c>
      <c r="T64" s="124"/>
      <c r="U64" s="78"/>
      <c r="V64" s="78"/>
      <c r="W64" s="78"/>
      <c r="X64" s="78"/>
      <c r="Y64" s="78"/>
      <c r="Z64" s="37" t="str">
        <f>+'%Analysis'!A66</f>
        <v>OldHick</v>
      </c>
    </row>
    <row r="65" spans="1:26" x14ac:dyDescent="0.2">
      <c r="A65" s="138">
        <v>2</v>
      </c>
      <c r="B65" s="78" t="s">
        <v>92</v>
      </c>
      <c r="C65" s="78">
        <f>C63-C64</f>
        <v>0</v>
      </c>
      <c r="D65" s="78">
        <f t="shared" ref="D65:M65" si="5">D63-D64</f>
        <v>210.38</v>
      </c>
      <c r="E65" s="78">
        <f t="shared" si="5"/>
        <v>0</v>
      </c>
      <c r="F65" s="78">
        <f t="shared" si="5"/>
        <v>1360.32</v>
      </c>
      <c r="G65" s="78">
        <f t="shared" si="5"/>
        <v>576.94000000000005</v>
      </c>
      <c r="H65" s="78">
        <f t="shared" si="5"/>
        <v>0</v>
      </c>
      <c r="I65" s="78">
        <f t="shared" si="5"/>
        <v>6.3</v>
      </c>
      <c r="J65" s="78">
        <f t="shared" si="5"/>
        <v>0</v>
      </c>
      <c r="K65" s="78">
        <f t="shared" si="5"/>
        <v>0</v>
      </c>
      <c r="L65" s="78">
        <f t="shared" si="5"/>
        <v>1243.7347191508181</v>
      </c>
      <c r="M65" s="123">
        <f t="shared" si="5"/>
        <v>4273.7517809228948</v>
      </c>
      <c r="N65" s="152"/>
      <c r="O65" s="78"/>
      <c r="P65" s="147"/>
      <c r="Q65" s="152">
        <f>+K64</f>
        <v>0</v>
      </c>
      <c r="R65" s="78"/>
      <c r="S65" s="147"/>
      <c r="T65" s="124"/>
      <c r="U65" s="78"/>
      <c r="V65" s="78"/>
      <c r="W65" s="78"/>
      <c r="X65" s="78"/>
      <c r="Y65" s="78"/>
      <c r="Z65" s="37" t="str">
        <f>+'%Analysis'!A67</f>
        <v>OM4</v>
      </c>
    </row>
    <row r="66" spans="1:26" x14ac:dyDescent="0.2">
      <c r="A66" s="138">
        <v>3</v>
      </c>
      <c r="B66" s="78" t="s">
        <v>91</v>
      </c>
      <c r="C66" s="78"/>
      <c r="D66" s="83">
        <f>IF(AND(P66&lt;=S66,O66&lt;=R66),D65,MIN(S66/P66,R66/O66)*D65)</f>
        <v>210.38</v>
      </c>
      <c r="E66" s="78"/>
      <c r="F66" s="78"/>
      <c r="G66" s="78"/>
      <c r="H66" s="78"/>
      <c r="I66" s="78"/>
      <c r="J66" s="78"/>
      <c r="K66" s="78"/>
      <c r="L66" s="78">
        <f>D66*(L47/D47)</f>
        <v>101.14423076923077</v>
      </c>
      <c r="M66" s="123">
        <f>D66*(M47/D47)</f>
        <v>497.62961538461536</v>
      </c>
      <c r="N66" s="152"/>
      <c r="O66" s="78">
        <f>D65*(L47/D47)</f>
        <v>101.14423076923077</v>
      </c>
      <c r="P66" s="147">
        <f>D65*(M47/D47)</f>
        <v>497.62961538461536</v>
      </c>
      <c r="Q66" s="152">
        <f>+K65</f>
        <v>0</v>
      </c>
      <c r="R66" s="78">
        <f>L65</f>
        <v>1243.7347191508181</v>
      </c>
      <c r="S66" s="147">
        <f>M65</f>
        <v>4273.7517809228948</v>
      </c>
      <c r="T66" s="124"/>
      <c r="U66" s="78"/>
      <c r="V66" s="78"/>
      <c r="W66" s="78"/>
      <c r="X66" s="78"/>
      <c r="Y66" s="78"/>
      <c r="Z66" s="37" t="str">
        <f>+'%Analysis'!A68</f>
        <v>P2O5</v>
      </c>
    </row>
    <row r="67" spans="1:26" x14ac:dyDescent="0.2">
      <c r="A67" s="138">
        <v>3</v>
      </c>
      <c r="B67" s="78" t="s">
        <v>92</v>
      </c>
      <c r="C67" s="78">
        <f>C65-C66</f>
        <v>0</v>
      </c>
      <c r="D67" s="78">
        <f t="shared" ref="D67:M67" si="6">D65-D66</f>
        <v>0</v>
      </c>
      <c r="E67" s="78">
        <f t="shared" si="6"/>
        <v>0</v>
      </c>
      <c r="F67" s="78">
        <f t="shared" si="6"/>
        <v>1360.32</v>
      </c>
      <c r="G67" s="78">
        <f t="shared" si="6"/>
        <v>576.94000000000005</v>
      </c>
      <c r="H67" s="78">
        <f t="shared" si="6"/>
        <v>0</v>
      </c>
      <c r="I67" s="78">
        <f t="shared" si="6"/>
        <v>6.3</v>
      </c>
      <c r="J67" s="78">
        <f t="shared" si="6"/>
        <v>0</v>
      </c>
      <c r="K67" s="78">
        <f t="shared" si="6"/>
        <v>0</v>
      </c>
      <c r="L67" s="78">
        <f t="shared" si="6"/>
        <v>1142.5904883815874</v>
      </c>
      <c r="M67" s="123">
        <f t="shared" si="6"/>
        <v>3776.1221655382797</v>
      </c>
      <c r="N67" s="152"/>
      <c r="O67" s="78"/>
      <c r="P67" s="147"/>
      <c r="Q67" s="152"/>
      <c r="R67" s="78"/>
      <c r="S67" s="147"/>
      <c r="T67" s="124"/>
      <c r="U67" s="78"/>
      <c r="V67" s="78"/>
      <c r="W67" s="78"/>
      <c r="X67" s="78"/>
      <c r="Y67" s="78"/>
      <c r="Z67" s="37" t="str">
        <f>+'%Analysis'!A69</f>
        <v>Petalite</v>
      </c>
    </row>
    <row r="68" spans="1:26" x14ac:dyDescent="0.2">
      <c r="A68" s="138">
        <v>4</v>
      </c>
      <c r="B68" s="78" t="s">
        <v>91</v>
      </c>
      <c r="C68" s="78"/>
      <c r="D68" s="83">
        <f>IF(AND(P68&lt;=S68,N68&lt;=Q68),D67,MIN(S68/P68,Q68/N68)*D67)</f>
        <v>0</v>
      </c>
      <c r="E68" s="78"/>
      <c r="F68" s="78"/>
      <c r="G68" s="82"/>
      <c r="H68" s="78"/>
      <c r="I68" s="78"/>
      <c r="J68" s="78"/>
      <c r="K68" s="78">
        <f>D68*(K48/D48)</f>
        <v>0</v>
      </c>
      <c r="L68" s="78"/>
      <c r="M68" s="123">
        <f>D68*(M48/D48)</f>
        <v>0</v>
      </c>
      <c r="N68" s="152">
        <f>+D67*(K48/D48)</f>
        <v>0</v>
      </c>
      <c r="O68" s="78"/>
      <c r="P68" s="147">
        <f>D67*(M48/D48)</f>
        <v>0</v>
      </c>
      <c r="Q68" s="152">
        <f>K67</f>
        <v>0</v>
      </c>
      <c r="R68" s="78"/>
      <c r="S68" s="147">
        <f>M67</f>
        <v>3776.1221655382797</v>
      </c>
      <c r="T68" s="124"/>
      <c r="U68" s="78"/>
      <c r="V68" s="78"/>
      <c r="W68" s="78"/>
      <c r="X68" s="78"/>
      <c r="Y68" s="78"/>
      <c r="Z68" s="37" t="str">
        <f>+'%Analysis'!A70</f>
        <v>PlVit</v>
      </c>
    </row>
    <row r="69" spans="1:26" x14ac:dyDescent="0.2">
      <c r="A69" s="138">
        <v>4</v>
      </c>
      <c r="B69" s="78" t="s">
        <v>92</v>
      </c>
      <c r="C69" s="78">
        <f>C67-C68</f>
        <v>0</v>
      </c>
      <c r="D69" s="78">
        <f t="shared" ref="D69:M69" si="7">D67-D68</f>
        <v>0</v>
      </c>
      <c r="E69" s="78">
        <f t="shared" si="7"/>
        <v>0</v>
      </c>
      <c r="F69" s="78">
        <f t="shared" si="7"/>
        <v>1360.32</v>
      </c>
      <c r="G69" s="78">
        <f t="shared" si="7"/>
        <v>576.94000000000005</v>
      </c>
      <c r="H69" s="78">
        <f t="shared" si="7"/>
        <v>0</v>
      </c>
      <c r="I69" s="78">
        <f t="shared" si="7"/>
        <v>6.3</v>
      </c>
      <c r="J69" s="78">
        <f t="shared" si="7"/>
        <v>0</v>
      </c>
      <c r="K69" s="78">
        <f t="shared" si="7"/>
        <v>0</v>
      </c>
      <c r="L69" s="78">
        <f t="shared" si="7"/>
        <v>1142.5904883815874</v>
      </c>
      <c r="M69" s="123">
        <f t="shared" si="7"/>
        <v>3776.1221655382797</v>
      </c>
      <c r="N69" s="152"/>
      <c r="O69" s="78"/>
      <c r="P69" s="147"/>
      <c r="Q69" s="152"/>
      <c r="R69" s="78"/>
      <c r="S69" s="147"/>
      <c r="T69" s="124"/>
      <c r="U69" s="78"/>
      <c r="V69" s="78"/>
      <c r="W69" s="78"/>
      <c r="X69" s="78"/>
      <c r="Y69" s="78"/>
      <c r="Z69" s="37" t="str">
        <f>+'%Analysis'!A71</f>
        <v>Redart</v>
      </c>
    </row>
    <row r="70" spans="1:26" x14ac:dyDescent="0.2">
      <c r="A70" s="156">
        <v>5</v>
      </c>
      <c r="B70" s="157" t="s">
        <v>91</v>
      </c>
      <c r="C70" s="158"/>
      <c r="D70" s="157"/>
      <c r="E70" s="158">
        <f>IF(AND(P70&lt;=S70,N70&lt;=Q70),E69,MIN(S70/P70,Q70/N70)*E69)</f>
        <v>0</v>
      </c>
      <c r="F70" s="157"/>
      <c r="G70" s="159"/>
      <c r="H70" s="157"/>
      <c r="I70" s="157"/>
      <c r="J70" s="157"/>
      <c r="K70" s="157">
        <f>E70*(K49/E49)</f>
        <v>0</v>
      </c>
      <c r="L70" s="157"/>
      <c r="M70" s="160">
        <f>E70*(M49/E49)</f>
        <v>0</v>
      </c>
      <c r="N70" s="152">
        <f>E69*(K49/E49)</f>
        <v>0</v>
      </c>
      <c r="O70" s="78"/>
      <c r="P70" s="147">
        <f>E69*(M49/E49)</f>
        <v>0</v>
      </c>
      <c r="Q70" s="152">
        <f>K69</f>
        <v>0</v>
      </c>
      <c r="R70" s="78"/>
      <c r="S70" s="147">
        <f>M69</f>
        <v>3776.1221655382797</v>
      </c>
      <c r="T70" s="124"/>
      <c r="U70" s="78"/>
      <c r="V70" s="78"/>
      <c r="W70" s="78"/>
      <c r="X70" s="78"/>
      <c r="Y70" s="78"/>
      <c r="Z70" s="37" t="str">
        <f>+'%Analysis'!A72</f>
        <v>Rutile</v>
      </c>
    </row>
    <row r="71" spans="1:26" x14ac:dyDescent="0.2">
      <c r="A71" s="156">
        <v>5</v>
      </c>
      <c r="B71" s="157" t="s">
        <v>92</v>
      </c>
      <c r="C71" s="157">
        <f>C69-C70</f>
        <v>0</v>
      </c>
      <c r="D71" s="157">
        <f t="shared" ref="D71:M73" si="8">D69-D70</f>
        <v>0</v>
      </c>
      <c r="E71" s="157">
        <f t="shared" si="8"/>
        <v>0</v>
      </c>
      <c r="F71" s="157">
        <f t="shared" si="8"/>
        <v>1360.32</v>
      </c>
      <c r="G71" s="157">
        <f t="shared" si="8"/>
        <v>576.94000000000005</v>
      </c>
      <c r="H71" s="157">
        <f t="shared" si="8"/>
        <v>0</v>
      </c>
      <c r="I71" s="157">
        <f t="shared" si="8"/>
        <v>6.3</v>
      </c>
      <c r="J71" s="157">
        <f t="shared" si="8"/>
        <v>0</v>
      </c>
      <c r="K71" s="157">
        <f t="shared" si="8"/>
        <v>0</v>
      </c>
      <c r="L71" s="157">
        <f t="shared" si="8"/>
        <v>1142.5904883815874</v>
      </c>
      <c r="M71" s="160">
        <f t="shared" si="8"/>
        <v>3776.1221655382797</v>
      </c>
      <c r="N71" s="161"/>
      <c r="O71" s="157"/>
      <c r="P71" s="162"/>
      <c r="Q71" s="161"/>
      <c r="R71" s="157"/>
      <c r="S71" s="162"/>
      <c r="T71" s="124"/>
      <c r="U71" s="78"/>
      <c r="V71" s="123" t="s">
        <v>91</v>
      </c>
      <c r="W71" s="124"/>
      <c r="X71" s="78"/>
      <c r="Y71" s="78"/>
      <c r="Z71" s="37" t="str">
        <f>+'%Analysis'!A73</f>
        <v>Silica</v>
      </c>
    </row>
    <row r="72" spans="1:26" x14ac:dyDescent="0.2">
      <c r="A72" s="138">
        <v>6</v>
      </c>
      <c r="B72" s="78" t="s">
        <v>91</v>
      </c>
      <c r="C72" s="78"/>
      <c r="D72" s="78"/>
      <c r="E72" s="78"/>
      <c r="F72" s="83">
        <f>IF((N72&lt;=K71),F71,(F50/K50)*K71)</f>
        <v>0</v>
      </c>
      <c r="G72" s="78"/>
      <c r="H72" s="78"/>
      <c r="I72" s="78"/>
      <c r="J72" s="78"/>
      <c r="K72" s="78">
        <f>F72*(K50/F50)</f>
        <v>0</v>
      </c>
      <c r="L72" s="78"/>
      <c r="M72" s="123"/>
      <c r="N72" s="152">
        <f>F71*(K50/F50)</f>
        <v>725.74042018095383</v>
      </c>
      <c r="O72" s="78"/>
      <c r="P72" s="147"/>
      <c r="Q72" s="152"/>
      <c r="R72" s="78"/>
      <c r="S72" s="162"/>
      <c r="T72" s="124"/>
      <c r="U72" s="78"/>
      <c r="V72" s="212"/>
      <c r="W72" s="213"/>
      <c r="X72" s="78"/>
      <c r="Y72" s="78"/>
      <c r="Z72" s="37" t="str">
        <f>+'%Analysis'!A74</f>
        <v>SiO2</v>
      </c>
    </row>
    <row r="73" spans="1:26" x14ac:dyDescent="0.2">
      <c r="A73" s="138">
        <v>6</v>
      </c>
      <c r="B73" s="78" t="s">
        <v>92</v>
      </c>
      <c r="C73" s="78">
        <f>C71-C72</f>
        <v>0</v>
      </c>
      <c r="D73" s="78">
        <f t="shared" si="8"/>
        <v>0</v>
      </c>
      <c r="E73" s="78">
        <f t="shared" si="8"/>
        <v>0</v>
      </c>
      <c r="F73" s="78">
        <f t="shared" si="8"/>
        <v>1360.32</v>
      </c>
      <c r="G73" s="78">
        <f t="shared" si="8"/>
        <v>576.94000000000005</v>
      </c>
      <c r="H73" s="78">
        <f t="shared" si="8"/>
        <v>0</v>
      </c>
      <c r="I73" s="78">
        <f t="shared" si="8"/>
        <v>6.3</v>
      </c>
      <c r="J73" s="78">
        <f t="shared" si="8"/>
        <v>0</v>
      </c>
      <c r="K73" s="78">
        <f t="shared" si="8"/>
        <v>0</v>
      </c>
      <c r="L73" s="78">
        <f t="shared" si="8"/>
        <v>1142.5904883815874</v>
      </c>
      <c r="M73" s="123">
        <f t="shared" si="8"/>
        <v>3776.1221655382797</v>
      </c>
      <c r="N73" s="152"/>
      <c r="O73" s="78"/>
      <c r="P73" s="147"/>
      <c r="Q73" s="152"/>
      <c r="R73" s="78"/>
      <c r="S73" s="162"/>
      <c r="T73" s="124"/>
      <c r="U73" s="78"/>
      <c r="V73" s="212"/>
      <c r="W73" s="213"/>
      <c r="X73" s="78"/>
      <c r="Y73" s="78"/>
      <c r="Z73" s="37" t="str">
        <f>+'%Analysis'!A75</f>
        <v>Spodumene</v>
      </c>
    </row>
    <row r="74" spans="1:26" x14ac:dyDescent="0.2">
      <c r="A74" s="138">
        <v>7</v>
      </c>
      <c r="B74" s="157" t="s">
        <v>91</v>
      </c>
      <c r="C74" s="157"/>
      <c r="D74" s="157"/>
      <c r="E74" s="158">
        <f>IF(AND(O74&lt;=R74,P74&lt;=S74),E71,(MIN(R74/O74,S74/P74)*E71))</f>
        <v>0</v>
      </c>
      <c r="F74" s="157"/>
      <c r="G74" s="159"/>
      <c r="H74" s="157"/>
      <c r="I74" s="157"/>
      <c r="J74" s="157"/>
      <c r="K74" s="157"/>
      <c r="L74" s="158">
        <f>E74*(L51/E51)</f>
        <v>0</v>
      </c>
      <c r="M74" s="163">
        <f>E74*(M51/E51)</f>
        <v>0</v>
      </c>
      <c r="N74" s="161"/>
      <c r="O74" s="157">
        <f>E71*(L51/E51)</f>
        <v>0</v>
      </c>
      <c r="P74" s="162">
        <f>E71*(M51/E51)</f>
        <v>0</v>
      </c>
      <c r="Q74" s="161"/>
      <c r="R74" s="157">
        <f>L71</f>
        <v>1142.5904883815874</v>
      </c>
      <c r="S74" s="162">
        <f>M71</f>
        <v>3776.1221655382797</v>
      </c>
      <c r="T74" s="124" t="s">
        <v>95</v>
      </c>
      <c r="U74" s="78" t="s">
        <v>94</v>
      </c>
      <c r="V74" s="140" t="s">
        <v>97</v>
      </c>
      <c r="W74" s="125"/>
      <c r="X74" s="78"/>
      <c r="Y74" s="78"/>
      <c r="Z74" s="37" t="str">
        <f>+'%Analysis'!A76</f>
        <v>SrCarb</v>
      </c>
    </row>
    <row r="75" spans="1:26" x14ac:dyDescent="0.2">
      <c r="A75" s="138">
        <v>7</v>
      </c>
      <c r="B75" s="157" t="s">
        <v>92</v>
      </c>
      <c r="C75" s="78">
        <f t="shared" ref="C75:M77" si="9">C73-C74</f>
        <v>0</v>
      </c>
      <c r="D75" s="78">
        <f t="shared" si="9"/>
        <v>0</v>
      </c>
      <c r="E75" s="78">
        <f t="shared" si="9"/>
        <v>0</v>
      </c>
      <c r="F75" s="78">
        <f t="shared" si="9"/>
        <v>1360.32</v>
      </c>
      <c r="G75" s="78">
        <f t="shared" si="9"/>
        <v>576.94000000000005</v>
      </c>
      <c r="H75" s="78">
        <f t="shared" si="9"/>
        <v>0</v>
      </c>
      <c r="I75" s="78">
        <f t="shared" si="9"/>
        <v>6.3</v>
      </c>
      <c r="J75" s="78">
        <f t="shared" si="9"/>
        <v>0</v>
      </c>
      <c r="K75" s="78">
        <f t="shared" si="9"/>
        <v>0</v>
      </c>
      <c r="L75" s="78">
        <f t="shared" si="9"/>
        <v>1142.5904883815874</v>
      </c>
      <c r="M75" s="78">
        <f t="shared" si="9"/>
        <v>3776.1221655382797</v>
      </c>
      <c r="N75" s="161"/>
      <c r="O75" s="157"/>
      <c r="P75" s="162"/>
      <c r="Q75" s="161"/>
      <c r="R75" s="157">
        <f>L75</f>
        <v>1142.5904883815874</v>
      </c>
      <c r="S75" s="162">
        <f>M75</f>
        <v>3776.1221655382797</v>
      </c>
      <c r="T75" s="124" t="s">
        <v>93</v>
      </c>
      <c r="U75" s="78" t="s">
        <v>93</v>
      </c>
      <c r="V75" s="141" t="s">
        <v>98</v>
      </c>
      <c r="W75" s="122"/>
      <c r="X75" s="78"/>
      <c r="Y75" s="78"/>
      <c r="Z75" s="37" t="str">
        <f>+'%Analysis'!A77</f>
        <v>SrO</v>
      </c>
    </row>
    <row r="76" spans="1:26" x14ac:dyDescent="0.2">
      <c r="A76" s="138">
        <v>8</v>
      </c>
      <c r="B76" s="78" t="s">
        <v>91</v>
      </c>
      <c r="C76" s="78"/>
      <c r="D76" s="78"/>
      <c r="E76" s="83"/>
      <c r="F76" s="83">
        <f>IF(U76=0,0,IF(AND(O76&lt;=R76,P76&lt;=S76),V76,(MIN(R76/O76,S76/P76)*V76)))</f>
        <v>0</v>
      </c>
      <c r="G76" s="82"/>
      <c r="H76" s="78"/>
      <c r="I76" s="78"/>
      <c r="J76" s="83">
        <f>IF(U76=0,0,IF(AND(O76&lt;R76,P76&lt;S76),W76,(MIN(R76/O76,S76/P76)*W76)))</f>
        <v>0</v>
      </c>
      <c r="K76" s="83"/>
      <c r="L76" s="78">
        <f>J76*(L52/J52)</f>
        <v>0</v>
      </c>
      <c r="M76" s="123">
        <f>J76*(M52/J52)</f>
        <v>0</v>
      </c>
      <c r="N76" s="152"/>
      <c r="O76" s="78">
        <f>V76*(L52/F52)</f>
        <v>602.95264864864862</v>
      </c>
      <c r="P76" s="147">
        <f>V76*(M52/F52)</f>
        <v>3735.3651891891891</v>
      </c>
      <c r="Q76" s="152"/>
      <c r="R76" s="78">
        <f>R75</f>
        <v>1142.5904883815874</v>
      </c>
      <c r="S76" s="147">
        <f>S75</f>
        <v>3776.1221655382797</v>
      </c>
      <c r="T76" s="124">
        <f>F52/J52</f>
        <v>0.82222222222222219</v>
      </c>
      <c r="U76" s="78">
        <f>IF(OR(J61=0,F61=0),0,F75/J75)</f>
        <v>0</v>
      </c>
      <c r="V76" s="78">
        <f>IF(U76&lt;T76,F75,(J75*T76))</f>
        <v>1360.32</v>
      </c>
      <c r="W76" s="78">
        <f>IF(U76&gt;T76,J75,F75/T76)</f>
        <v>1654.4432432432432</v>
      </c>
      <c r="X76" s="78"/>
      <c r="Y76" s="78"/>
      <c r="Z76" s="37" t="str">
        <f>+'%Analysis'!A78</f>
        <v>Superpax</v>
      </c>
    </row>
    <row r="77" spans="1:26" x14ac:dyDescent="0.2">
      <c r="A77" s="138">
        <v>8</v>
      </c>
      <c r="B77" s="78" t="s">
        <v>92</v>
      </c>
      <c r="C77" s="78">
        <f t="shared" si="9"/>
        <v>0</v>
      </c>
      <c r="D77" s="78">
        <f t="shared" si="9"/>
        <v>0</v>
      </c>
      <c r="E77" s="78">
        <f t="shared" si="9"/>
        <v>0</v>
      </c>
      <c r="F77" s="78">
        <f t="shared" si="9"/>
        <v>1360.32</v>
      </c>
      <c r="G77" s="78">
        <f t="shared" si="9"/>
        <v>576.94000000000005</v>
      </c>
      <c r="H77" s="78">
        <f t="shared" si="9"/>
        <v>0</v>
      </c>
      <c r="I77" s="78">
        <f t="shared" si="9"/>
        <v>6.3</v>
      </c>
      <c r="J77" s="78">
        <f>J75-J76</f>
        <v>0</v>
      </c>
      <c r="K77" s="78">
        <f>K75-K76</f>
        <v>0</v>
      </c>
      <c r="L77" s="78">
        <f>L75-L76</f>
        <v>1142.5904883815874</v>
      </c>
      <c r="M77" s="123">
        <f>M75-M76</f>
        <v>3776.1221655382797</v>
      </c>
      <c r="N77" s="152"/>
      <c r="O77" s="78"/>
      <c r="P77" s="147"/>
      <c r="Q77" s="152"/>
      <c r="R77" s="78">
        <f>L77</f>
        <v>1142.5904883815874</v>
      </c>
      <c r="S77" s="147">
        <f>M77</f>
        <v>3776.1221655382797</v>
      </c>
      <c r="T77" s="124"/>
      <c r="U77" s="78"/>
      <c r="V77" s="78"/>
      <c r="W77" s="78"/>
      <c r="X77" s="78"/>
      <c r="Y77" s="78"/>
      <c r="Z77" s="37" t="str">
        <f>+'%Analysis'!A79</f>
        <v>Talc - NYTAL</v>
      </c>
    </row>
    <row r="78" spans="1:26" x14ac:dyDescent="0.2">
      <c r="A78" s="138">
        <v>9</v>
      </c>
      <c r="B78" s="78" t="s">
        <v>91</v>
      </c>
      <c r="C78" s="78"/>
      <c r="D78" s="78"/>
      <c r="E78" s="78"/>
      <c r="G78" s="82"/>
      <c r="H78" s="83">
        <f>IF(AND(O78&lt;=R78,P78&lt;=S78),H77,MIN(R78/O78,S78/P78)*H77)</f>
        <v>0</v>
      </c>
      <c r="I78" s="78"/>
      <c r="J78" s="78"/>
      <c r="K78" s="78"/>
      <c r="L78" s="78">
        <f>H78*(L53/H53)</f>
        <v>0</v>
      </c>
      <c r="M78" s="123">
        <f>H78*(M53/H53)</f>
        <v>0</v>
      </c>
      <c r="N78" s="152"/>
      <c r="O78" s="78">
        <f>H77*(L53/H53)</f>
        <v>0</v>
      </c>
      <c r="P78" s="147">
        <f>H77*(M53/H53)</f>
        <v>0</v>
      </c>
      <c r="Q78" s="152"/>
      <c r="R78" s="78">
        <f>R77</f>
        <v>1142.5904883815874</v>
      </c>
      <c r="S78" s="147">
        <f>S77</f>
        <v>3776.1221655382797</v>
      </c>
      <c r="T78" s="124"/>
      <c r="U78" s="78"/>
      <c r="V78" s="78"/>
      <c r="W78" s="78"/>
      <c r="X78" s="78"/>
      <c r="Y78" s="78"/>
      <c r="Z78" s="37" t="str">
        <f>+'%Analysis'!A80</f>
        <v>Talc - Texas</v>
      </c>
    </row>
    <row r="79" spans="1:26" x14ac:dyDescent="0.2">
      <c r="A79" s="138">
        <v>9</v>
      </c>
      <c r="B79" s="78" t="s">
        <v>92</v>
      </c>
      <c r="C79" s="78">
        <f t="shared" ref="C79:I79" si="10">C77-C78</f>
        <v>0</v>
      </c>
      <c r="D79" s="78">
        <f t="shared" si="10"/>
        <v>0</v>
      </c>
      <c r="E79" s="78">
        <f t="shared" si="10"/>
        <v>0</v>
      </c>
      <c r="F79" s="78">
        <f t="shared" si="10"/>
        <v>1360.32</v>
      </c>
      <c r="G79" s="78">
        <f t="shared" si="10"/>
        <v>576.94000000000005</v>
      </c>
      <c r="H79" s="78">
        <f t="shared" si="10"/>
        <v>0</v>
      </c>
      <c r="I79" s="78">
        <f t="shared" si="10"/>
        <v>6.3</v>
      </c>
      <c r="J79" s="78">
        <f>J77-J78</f>
        <v>0</v>
      </c>
      <c r="K79" s="78">
        <f>K77-K78</f>
        <v>0</v>
      </c>
      <c r="L79" s="78">
        <f>L77-L78</f>
        <v>1142.5904883815874</v>
      </c>
      <c r="M79" s="123">
        <f>M77-M78</f>
        <v>3776.1221655382797</v>
      </c>
      <c r="N79" s="152"/>
      <c r="O79" s="78"/>
      <c r="P79" s="147"/>
      <c r="Q79" s="152"/>
      <c r="R79" s="78"/>
      <c r="S79" s="147"/>
      <c r="T79" s="124"/>
      <c r="U79" s="78"/>
      <c r="V79" s="78"/>
      <c r="W79" s="78"/>
      <c r="X79" s="78"/>
      <c r="Y79" s="78"/>
      <c r="Z79" s="37" t="str">
        <f>+'%Analysis'!A81</f>
        <v>TinOxide</v>
      </c>
    </row>
    <row r="80" spans="1:26" x14ac:dyDescent="0.2">
      <c r="A80" s="156">
        <v>10</v>
      </c>
      <c r="B80" s="78" t="s">
        <v>91</v>
      </c>
      <c r="C80" s="78"/>
      <c r="D80" s="78"/>
      <c r="E80" s="78"/>
      <c r="F80" s="158">
        <f>IF(AND(P80&lt;=S80,O80&lt;=R80),F79,MIN(S80/P80,R80/O80)*F79)</f>
        <v>1360.32</v>
      </c>
      <c r="G80" s="82"/>
      <c r="H80" s="78"/>
      <c r="I80" s="78"/>
      <c r="J80" s="78"/>
      <c r="K80" s="78"/>
      <c r="L80" s="78">
        <f>F80*(L54/F54)</f>
        <v>862.99870967741936</v>
      </c>
      <c r="M80" s="123">
        <f>F80*(M54/F54)</f>
        <v>3627.5199999999995</v>
      </c>
      <c r="N80" s="152"/>
      <c r="O80" s="78">
        <f>F79*(L54/F54)</f>
        <v>862.99870967741936</v>
      </c>
      <c r="P80" s="147">
        <f>F79*(M54/F54)</f>
        <v>3627.5199999999995</v>
      </c>
      <c r="Q80" s="152"/>
      <c r="R80" s="78">
        <f>L79</f>
        <v>1142.5904883815874</v>
      </c>
      <c r="S80" s="147">
        <f>M79</f>
        <v>3776.1221655382797</v>
      </c>
      <c r="T80" s="124"/>
      <c r="U80" s="78"/>
      <c r="V80" s="78"/>
      <c r="W80" s="78"/>
      <c r="X80" s="78"/>
      <c r="Y80" s="78"/>
      <c r="Z80" s="37" t="str">
        <f>+'%Analysis'!A82</f>
        <v>TiO2</v>
      </c>
    </row>
    <row r="81" spans="1:26" x14ac:dyDescent="0.2">
      <c r="A81" s="156">
        <v>10</v>
      </c>
      <c r="B81" s="78" t="s">
        <v>92</v>
      </c>
      <c r="C81" s="78">
        <f>C79-C80</f>
        <v>0</v>
      </c>
      <c r="D81" s="78">
        <f t="shared" ref="D81:M81" si="11">D79-D80</f>
        <v>0</v>
      </c>
      <c r="E81" s="78">
        <f t="shared" si="11"/>
        <v>0</v>
      </c>
      <c r="F81" s="78">
        <f t="shared" si="11"/>
        <v>0</v>
      </c>
      <c r="G81" s="78">
        <f t="shared" si="11"/>
        <v>576.94000000000005</v>
      </c>
      <c r="H81" s="78">
        <f t="shared" si="11"/>
        <v>0</v>
      </c>
      <c r="I81" s="78">
        <f t="shared" si="11"/>
        <v>6.3</v>
      </c>
      <c r="J81" s="78">
        <f t="shared" si="11"/>
        <v>0</v>
      </c>
      <c r="K81" s="78">
        <f t="shared" si="11"/>
        <v>0</v>
      </c>
      <c r="L81" s="78">
        <f t="shared" si="11"/>
        <v>279.59177870416806</v>
      </c>
      <c r="M81" s="123">
        <f t="shared" si="11"/>
        <v>148.60216553828013</v>
      </c>
      <c r="N81" s="152"/>
      <c r="O81" s="78"/>
      <c r="P81" s="147"/>
      <c r="Q81" s="152"/>
      <c r="R81" s="78">
        <f>L81</f>
        <v>279.59177870416806</v>
      </c>
      <c r="S81" s="147">
        <f>M81</f>
        <v>148.60216553828013</v>
      </c>
      <c r="T81" s="124"/>
      <c r="U81" s="78"/>
      <c r="V81" s="78"/>
      <c r="W81" s="78"/>
      <c r="X81" s="78"/>
      <c r="Y81" s="78"/>
      <c r="Z81" s="37" t="str">
        <f>+'%Analysis'!A83</f>
        <v>Ultrox</v>
      </c>
    </row>
    <row r="82" spans="1:26" x14ac:dyDescent="0.2">
      <c r="A82" s="138">
        <v>11</v>
      </c>
      <c r="B82" s="78" t="s">
        <v>91</v>
      </c>
      <c r="C82" s="78"/>
      <c r="D82" s="78"/>
      <c r="E82" s="78"/>
      <c r="F82" s="78"/>
      <c r="G82" s="82"/>
      <c r="H82" s="78"/>
      <c r="I82" s="83">
        <f>IF(J2=TRUE,IF(AND(O82&lt;=R82,P82&lt;=S82),I81,MIN(R82/O82,S82/P82)*I81),0)</f>
        <v>6.3</v>
      </c>
      <c r="J82" s="78"/>
      <c r="K82" s="78"/>
      <c r="L82" s="78">
        <f>I82*(L55/I55)</f>
        <v>1.3291824933386245</v>
      </c>
      <c r="M82" s="123">
        <f>I82*(M55/I55)</f>
        <v>10.228794149328193</v>
      </c>
      <c r="N82" s="152"/>
      <c r="O82" s="78">
        <f>I81*(L55/I55)</f>
        <v>1.3291824933386245</v>
      </c>
      <c r="P82" s="147">
        <f>I81*(M55/I55)</f>
        <v>10.228794149328193</v>
      </c>
      <c r="Q82" s="152"/>
      <c r="R82" s="78">
        <f>R81</f>
        <v>279.59177870416806</v>
      </c>
      <c r="S82" s="147">
        <f>S81</f>
        <v>148.60216553828013</v>
      </c>
      <c r="T82" s="124"/>
      <c r="U82" s="78"/>
      <c r="V82" s="78"/>
      <c r="W82" s="78"/>
      <c r="X82" s="78"/>
      <c r="Y82" s="78"/>
      <c r="Z82" s="37" t="str">
        <f>+'%Analysis'!A84</f>
        <v>Veegum</v>
      </c>
    </row>
    <row r="83" spans="1:26" x14ac:dyDescent="0.2">
      <c r="A83" s="138">
        <v>11</v>
      </c>
      <c r="B83" s="78" t="s">
        <v>92</v>
      </c>
      <c r="C83" s="78">
        <f>C81-C82</f>
        <v>0</v>
      </c>
      <c r="D83" s="78">
        <f t="shared" ref="D83:M83" si="12">D81-D82</f>
        <v>0</v>
      </c>
      <c r="E83" s="78">
        <f t="shared" si="12"/>
        <v>0</v>
      </c>
      <c r="F83" s="78">
        <f t="shared" si="12"/>
        <v>0</v>
      </c>
      <c r="G83" s="78">
        <f t="shared" si="12"/>
        <v>576.94000000000005</v>
      </c>
      <c r="H83" s="78">
        <f t="shared" si="12"/>
        <v>0</v>
      </c>
      <c r="I83" s="78">
        <f t="shared" si="12"/>
        <v>0</v>
      </c>
      <c r="J83" s="78">
        <f t="shared" si="12"/>
        <v>0</v>
      </c>
      <c r="K83" s="78">
        <f t="shared" si="12"/>
        <v>0</v>
      </c>
      <c r="L83" s="78">
        <f t="shared" si="12"/>
        <v>278.26259621082943</v>
      </c>
      <c r="M83" s="123">
        <f t="shared" si="12"/>
        <v>138.37337138895194</v>
      </c>
      <c r="N83" s="152"/>
      <c r="O83" s="78"/>
      <c r="P83" s="147"/>
      <c r="Q83" s="152"/>
      <c r="R83" s="78">
        <f>L83</f>
        <v>278.26259621082943</v>
      </c>
      <c r="S83" s="147">
        <f>M83</f>
        <v>138.37337138895194</v>
      </c>
      <c r="T83" s="124"/>
      <c r="U83" s="78"/>
      <c r="V83" s="78"/>
      <c r="W83" s="78"/>
      <c r="X83" s="78"/>
      <c r="Y83" s="78"/>
      <c r="Z83" s="37" t="str">
        <f>+'%Analysis'!A85</f>
        <v>VolAsh</v>
      </c>
    </row>
    <row r="84" spans="1:26" x14ac:dyDescent="0.2">
      <c r="A84" s="138">
        <v>12</v>
      </c>
      <c r="B84" s="78" t="s">
        <v>91</v>
      </c>
      <c r="C84" s="78"/>
      <c r="D84" s="78"/>
      <c r="E84" s="78"/>
      <c r="F84" s="78"/>
      <c r="G84" s="83">
        <f>IF(M2=TRUE,IF(AND(O84&lt;=R84,P84&lt;=S84),G83,MIN(R84/O84,S84/P84)*G83),0)</f>
        <v>0</v>
      </c>
      <c r="H84" s="78"/>
      <c r="I84" s="78"/>
      <c r="J84" s="78"/>
      <c r="K84" s="78"/>
      <c r="L84" s="78">
        <f>G84*(L56/G56)</f>
        <v>0</v>
      </c>
      <c r="M84" s="123">
        <f>G84*(M56/G56)</f>
        <v>0</v>
      </c>
      <c r="N84" s="152"/>
      <c r="O84" s="78">
        <f>G83*(L56/G56)</f>
        <v>492.50975609756102</v>
      </c>
      <c r="P84" s="147">
        <f>G83*(M56/G56)</f>
        <v>1744.8917073170733</v>
      </c>
      <c r="Q84" s="152"/>
      <c r="R84" s="78">
        <f>R83</f>
        <v>278.26259621082943</v>
      </c>
      <c r="S84" s="147">
        <f>S83</f>
        <v>138.37337138895194</v>
      </c>
      <c r="T84" s="124"/>
      <c r="U84" s="78"/>
      <c r="V84" s="78"/>
      <c r="W84" s="78"/>
      <c r="X84" s="78"/>
      <c r="Y84" s="78"/>
      <c r="Z84" s="37" t="str">
        <f>+'%Analysis'!A86</f>
        <v>Westex Talc</v>
      </c>
    </row>
    <row r="85" spans="1:26" ht="13.5" thickBot="1" x14ac:dyDescent="0.25">
      <c r="A85" s="138">
        <v>12</v>
      </c>
      <c r="B85" s="78" t="s">
        <v>92</v>
      </c>
      <c r="C85" s="78">
        <f>C83-C84</f>
        <v>0</v>
      </c>
      <c r="D85" s="78">
        <f t="shared" ref="D85:M85" si="13">D83-D84</f>
        <v>0</v>
      </c>
      <c r="E85" s="78">
        <f t="shared" si="13"/>
        <v>0</v>
      </c>
      <c r="F85" s="78">
        <f t="shared" si="13"/>
        <v>0</v>
      </c>
      <c r="G85" s="78">
        <f t="shared" si="13"/>
        <v>576.94000000000005</v>
      </c>
      <c r="H85" s="78">
        <f t="shared" si="13"/>
        <v>0</v>
      </c>
      <c r="I85" s="78">
        <f t="shared" si="13"/>
        <v>0</v>
      </c>
      <c r="J85" s="78">
        <f t="shared" si="13"/>
        <v>0</v>
      </c>
      <c r="K85" s="78">
        <f t="shared" si="13"/>
        <v>0</v>
      </c>
      <c r="L85" s="78">
        <f t="shared" si="13"/>
        <v>278.26259621082943</v>
      </c>
      <c r="M85" s="123">
        <f t="shared" si="13"/>
        <v>138.37337138895194</v>
      </c>
      <c r="N85" s="153"/>
      <c r="O85" s="148"/>
      <c r="P85" s="149"/>
      <c r="Q85" s="153"/>
      <c r="R85" s="148"/>
      <c r="S85" s="149"/>
      <c r="T85" s="124"/>
      <c r="U85" s="78"/>
      <c r="V85" s="78"/>
      <c r="W85" s="78"/>
      <c r="X85" s="78"/>
      <c r="Y85" s="78"/>
      <c r="Z85" s="37" t="str">
        <f>+'%Analysis'!A87</f>
        <v>Whiting</v>
      </c>
    </row>
    <row r="86" spans="1:26" x14ac:dyDescent="0.2">
      <c r="A86" s="53"/>
      <c r="B86" s="38" t="s">
        <v>101</v>
      </c>
      <c r="C86" s="38">
        <f t="shared" ref="C86:K86" si="14">C61-C85</f>
        <v>307.74</v>
      </c>
      <c r="D86" s="38">
        <f t="shared" si="14"/>
        <v>210.38</v>
      </c>
      <c r="E86" s="38">
        <f t="shared" si="14"/>
        <v>0</v>
      </c>
      <c r="F86" s="38">
        <f t="shared" si="14"/>
        <v>1360.32</v>
      </c>
      <c r="G86" s="38">
        <f t="shared" si="14"/>
        <v>0</v>
      </c>
      <c r="H86" s="38">
        <f t="shared" si="14"/>
        <v>0</v>
      </c>
      <c r="I86" s="38">
        <f t="shared" si="14"/>
        <v>6.3</v>
      </c>
      <c r="J86" s="38">
        <f>J61-J85</f>
        <v>0</v>
      </c>
      <c r="K86" s="38">
        <f t="shared" si="14"/>
        <v>452.92</v>
      </c>
      <c r="L86" s="38">
        <f>L61-L85</f>
        <v>967.41740378917041</v>
      </c>
      <c r="M86" s="38">
        <f>M61-M85</f>
        <v>4702.2466286110475</v>
      </c>
      <c r="O86" s="37"/>
      <c r="P86" s="37"/>
      <c r="R86" s="37"/>
      <c r="S86" s="37"/>
      <c r="T86" s="77"/>
      <c r="U86" s="77"/>
      <c r="V86" s="37"/>
      <c r="W86" s="37"/>
      <c r="X86" s="37"/>
      <c r="Y86" s="37"/>
      <c r="Z86" s="37" t="str">
        <f>+'%Analysis'!A88</f>
        <v>Wollastonite</v>
      </c>
    </row>
    <row r="87" spans="1:26" x14ac:dyDescent="0.2">
      <c r="A87" s="53"/>
      <c r="B87" s="38" t="s">
        <v>43</v>
      </c>
      <c r="C87" s="75">
        <v>94.195999999999998</v>
      </c>
      <c r="D87" s="75">
        <v>61.978999999999999</v>
      </c>
      <c r="E87" s="75">
        <v>29.881</v>
      </c>
      <c r="F87" s="75">
        <v>56.076999999999998</v>
      </c>
      <c r="G87" s="75">
        <v>40.304000000000002</v>
      </c>
      <c r="H87" s="75">
        <v>153.32599999999999</v>
      </c>
      <c r="I87" s="75">
        <v>103.619</v>
      </c>
      <c r="J87" s="75">
        <v>81.379000000000005</v>
      </c>
      <c r="K87" s="75">
        <v>69.62</v>
      </c>
      <c r="L87" s="75">
        <v>101.961</v>
      </c>
      <c r="M87" s="75">
        <v>60.084000000000003</v>
      </c>
      <c r="O87" s="84"/>
      <c r="P87" s="37"/>
      <c r="R87" s="37"/>
      <c r="S87" s="37"/>
      <c r="T87" s="77"/>
      <c r="U87" s="77"/>
      <c r="V87" s="37"/>
      <c r="W87" s="37"/>
      <c r="X87" s="37"/>
      <c r="Y87" s="37"/>
      <c r="Z87" s="37" t="str">
        <f>+'%Analysis'!A89</f>
        <v>Yellow Ochre</v>
      </c>
    </row>
    <row r="88" spans="1:26" x14ac:dyDescent="0.2">
      <c r="A88" s="53"/>
      <c r="B88" s="85">
        <f>SUM(C88:J88)</f>
        <v>30.980266602402832</v>
      </c>
      <c r="C88" s="75">
        <f>C86/C87</f>
        <v>3.2670177077582916</v>
      </c>
      <c r="D88" s="75">
        <f>D86/D87</f>
        <v>3.3943755142870971</v>
      </c>
      <c r="E88" s="75">
        <f>E86/E87</f>
        <v>0</v>
      </c>
      <c r="F88" s="75">
        <f>F86/F87</f>
        <v>24.258073720063482</v>
      </c>
      <c r="G88" s="75">
        <f>IF(M2=TRUE,G86/G87,0)</f>
        <v>0</v>
      </c>
      <c r="H88" s="75">
        <f>H86/H87</f>
        <v>0</v>
      </c>
      <c r="I88" s="75">
        <f>IF(J2=TRUE,I86/I87,0)</f>
        <v>6.0799660293961527E-2</v>
      </c>
      <c r="J88" s="75">
        <f>J86/J87</f>
        <v>0</v>
      </c>
      <c r="K88" s="75">
        <f>K86/K87</f>
        <v>6.5056018385521401</v>
      </c>
      <c r="L88" s="75">
        <f>L86/L87</f>
        <v>9.4881121584642205</v>
      </c>
      <c r="M88" s="75">
        <f>M86/M87</f>
        <v>78.261211447490965</v>
      </c>
      <c r="O88" s="37"/>
      <c r="P88" s="37"/>
      <c r="R88" s="37"/>
      <c r="S88" s="38"/>
      <c r="T88" s="77"/>
      <c r="U88" s="77"/>
      <c r="V88" s="37">
        <f>V76/W76</f>
        <v>0.82222222222222219</v>
      </c>
      <c r="W88" s="37"/>
      <c r="X88" s="37"/>
      <c r="Y88" s="37"/>
      <c r="Z88" s="37" t="str">
        <f>+'%Analysis'!A90</f>
        <v>Zircopax</v>
      </c>
    </row>
    <row r="89" spans="1:26" x14ac:dyDescent="0.2">
      <c r="A89" s="53"/>
      <c r="B89" s="38" t="s">
        <v>101</v>
      </c>
      <c r="C89" s="86">
        <f t="shared" ref="C89:J89" si="15">C88/$B$88</f>
        <v>0.10545479642531227</v>
      </c>
      <c r="D89" s="86">
        <f t="shared" si="15"/>
        <v>0.10956572962557491</v>
      </c>
      <c r="E89" s="86">
        <f t="shared" si="15"/>
        <v>0</v>
      </c>
      <c r="F89" s="86">
        <f t="shared" si="15"/>
        <v>0.78301694531518407</v>
      </c>
      <c r="G89" s="86">
        <f t="shared" si="15"/>
        <v>0</v>
      </c>
      <c r="H89" s="86">
        <f t="shared" si="15"/>
        <v>0</v>
      </c>
      <c r="I89" s="86">
        <f t="shared" si="15"/>
        <v>1.9625286339287314E-3</v>
      </c>
      <c r="J89" s="86">
        <f t="shared" si="15"/>
        <v>0</v>
      </c>
      <c r="K89" s="86">
        <f>K88/$B$88</f>
        <v>0.20999179645689572</v>
      </c>
      <c r="L89" s="86">
        <f>L88/$B$88</f>
        <v>0.30626308934760171</v>
      </c>
      <c r="M89" s="86">
        <f>M88/$B$88</f>
        <v>2.5261632655356498</v>
      </c>
      <c r="O89" s="37"/>
      <c r="P89" s="37"/>
      <c r="R89" s="37"/>
      <c r="S89" s="38"/>
      <c r="T89" s="77"/>
      <c r="U89" s="77"/>
      <c r="V89" s="37"/>
      <c r="W89" s="37"/>
      <c r="X89" s="37"/>
      <c r="Y89" s="37"/>
      <c r="Z89" s="37" t="str">
        <f>+'%Analysis'!A91</f>
        <v>ZnO</v>
      </c>
    </row>
    <row r="90" spans="1:26" x14ac:dyDescent="0.2">
      <c r="A90" s="53"/>
      <c r="B90" s="38" t="s">
        <v>88</v>
      </c>
      <c r="C90" s="86">
        <f t="shared" ref="C90:I90" si="16">(C85/C87)/$B$88</f>
        <v>0</v>
      </c>
      <c r="D90" s="86">
        <f t="shared" si="16"/>
        <v>0</v>
      </c>
      <c r="E90" s="86">
        <f t="shared" si="16"/>
        <v>0</v>
      </c>
      <c r="F90" s="86">
        <f t="shared" si="16"/>
        <v>0</v>
      </c>
      <c r="G90" s="86">
        <f t="shared" si="16"/>
        <v>0.46205890999131677</v>
      </c>
      <c r="H90" s="86">
        <f t="shared" si="16"/>
        <v>0</v>
      </c>
      <c r="I90" s="86">
        <f t="shared" si="16"/>
        <v>0</v>
      </c>
      <c r="J90" s="86">
        <f>(J85/J87)/$B$88</f>
        <v>0</v>
      </c>
      <c r="K90" s="86">
        <f>(K85/K87)/$B$88</f>
        <v>0</v>
      </c>
      <c r="L90" s="86">
        <f>(L85/L87)/$B$88</f>
        <v>8.8091822652371102E-2</v>
      </c>
      <c r="M90" s="86">
        <f>(M85/M87)/$B$88</f>
        <v>7.4337599734606741E-2</v>
      </c>
      <c r="O90" s="37"/>
      <c r="P90" s="37"/>
      <c r="R90" s="37"/>
      <c r="S90" s="38"/>
      <c r="T90" s="77"/>
      <c r="U90" s="77"/>
      <c r="V90" s="37"/>
      <c r="W90" s="37"/>
      <c r="X90" s="37"/>
      <c r="Y90" s="37"/>
      <c r="Z90" s="37">
        <f>+'%Analysis'!A92</f>
        <v>0</v>
      </c>
    </row>
    <row r="91" spans="1:26" x14ac:dyDescent="0.2">
      <c r="A91" s="53"/>
      <c r="B91" s="38" t="s">
        <v>102</v>
      </c>
      <c r="C91" s="75">
        <f t="shared" ref="C91:I91" si="17">C61/C87</f>
        <v>3.2670177077582916</v>
      </c>
      <c r="D91" s="75">
        <f t="shared" si="17"/>
        <v>3.3943755142870971</v>
      </c>
      <c r="E91" s="75">
        <f t="shared" si="17"/>
        <v>0</v>
      </c>
      <c r="F91" s="75">
        <f t="shared" si="17"/>
        <v>24.258073720063482</v>
      </c>
      <c r="G91" s="75">
        <f t="shared" si="17"/>
        <v>14.314708217546647</v>
      </c>
      <c r="H91" s="75">
        <f t="shared" si="17"/>
        <v>0</v>
      </c>
      <c r="I91" s="75">
        <f t="shared" si="17"/>
        <v>6.0799660293961527E-2</v>
      </c>
      <c r="J91" s="75">
        <f>J61/J87</f>
        <v>0</v>
      </c>
      <c r="K91" s="75">
        <f>K61/K87</f>
        <v>6.5056018385521401</v>
      </c>
      <c r="L91" s="75">
        <f>L61/L87</f>
        <v>12.217220309726267</v>
      </c>
      <c r="M91" s="75">
        <f>M61/M87</f>
        <v>80.564210105851799</v>
      </c>
      <c r="O91" s="37"/>
      <c r="P91" s="37"/>
      <c r="R91" s="37"/>
      <c r="S91" s="38"/>
      <c r="T91" s="77"/>
      <c r="U91" s="77"/>
      <c r="V91" s="37"/>
      <c r="W91" s="37"/>
      <c r="X91" s="37"/>
      <c r="Y91" s="37"/>
      <c r="Z91" s="37">
        <f>+'%Analysis'!A93</f>
        <v>0</v>
      </c>
    </row>
    <row r="92" spans="1:26" x14ac:dyDescent="0.2">
      <c r="A92" s="53"/>
      <c r="B92" s="87">
        <f>SUM(C91:J91)</f>
        <v>45.294974819949473</v>
      </c>
      <c r="C92" s="86">
        <f t="shared" ref="C92:J92" si="18">C91/$B$92</f>
        <v>7.2127597393417342E-2</v>
      </c>
      <c r="D92" s="86">
        <f t="shared" si="18"/>
        <v>7.4939339910883376E-2</v>
      </c>
      <c r="E92" s="86">
        <f t="shared" si="18"/>
        <v>0</v>
      </c>
      <c r="F92" s="86">
        <f t="shared" si="18"/>
        <v>0.53555772613829533</v>
      </c>
      <c r="G92" s="86">
        <f t="shared" si="18"/>
        <v>0.31603303179764558</v>
      </c>
      <c r="H92" s="86">
        <f t="shared" si="18"/>
        <v>0</v>
      </c>
      <c r="I92" s="86">
        <f t="shared" si="18"/>
        <v>1.3423047597585429E-3</v>
      </c>
      <c r="J92" s="86">
        <f t="shared" si="18"/>
        <v>0</v>
      </c>
      <c r="K92" s="86">
        <f>K91/$B$92</f>
        <v>0.14362745236998892</v>
      </c>
      <c r="L92" s="86">
        <f>L91/$B$92</f>
        <v>0.26972573355632778</v>
      </c>
      <c r="M92" s="86">
        <f>M91/$B$92</f>
        <v>1.7786566926264971</v>
      </c>
      <c r="O92" s="37"/>
      <c r="P92" s="37"/>
      <c r="R92" s="37"/>
      <c r="S92" s="38"/>
      <c r="T92" s="77"/>
      <c r="U92" s="77"/>
      <c r="V92" s="37"/>
      <c r="W92" s="37"/>
      <c r="X92" s="37"/>
      <c r="Y92" s="37"/>
      <c r="Z92" s="37">
        <f>+'%Analysis'!A94</f>
        <v>0</v>
      </c>
    </row>
    <row r="93" spans="1:26" x14ac:dyDescent="0.2">
      <c r="A93" s="53"/>
      <c r="B93" s="13"/>
      <c r="C93" s="61"/>
      <c r="D93" s="61"/>
      <c r="E93" s="61"/>
      <c r="F93" s="61"/>
      <c r="G93" s="61"/>
      <c r="H93" s="61"/>
      <c r="I93" s="61"/>
      <c r="J93" s="61"/>
      <c r="K93" s="61"/>
      <c r="L93" s="61"/>
      <c r="Q93" s="33"/>
      <c r="R93" s="23"/>
      <c r="S93" s="23"/>
      <c r="Z93" s="37">
        <f>+'%Analysis'!A95</f>
        <v>0</v>
      </c>
    </row>
    <row r="94" spans="1:26" x14ac:dyDescent="0.2">
      <c r="A94" s="53"/>
      <c r="B94" s="13"/>
      <c r="C94" s="61" t="s">
        <v>2</v>
      </c>
      <c r="D94" s="61" t="s">
        <v>3</v>
      </c>
      <c r="E94" s="61" t="s">
        <v>4</v>
      </c>
      <c r="F94" s="61" t="s">
        <v>5</v>
      </c>
      <c r="G94" s="61" t="s">
        <v>6</v>
      </c>
      <c r="H94" s="61" t="s">
        <v>9</v>
      </c>
      <c r="I94" s="61" t="s">
        <v>7</v>
      </c>
      <c r="J94" s="61" t="s">
        <v>8</v>
      </c>
      <c r="K94" s="61" t="s">
        <v>10</v>
      </c>
      <c r="L94" s="116" t="s">
        <v>13</v>
      </c>
      <c r="M94" s="61" t="s">
        <v>11</v>
      </c>
      <c r="O94" s="40" t="s">
        <v>12</v>
      </c>
      <c r="P94" s="116" t="s">
        <v>14</v>
      </c>
      <c r="Q94" s="33"/>
      <c r="R94" s="23"/>
      <c r="S94" s="23"/>
      <c r="Z94" s="37">
        <f>+'%Analysis'!A96</f>
        <v>0</v>
      </c>
    </row>
    <row r="95" spans="1:26" x14ac:dyDescent="0.2">
      <c r="A95" s="44"/>
      <c r="B95" s="117" t="s">
        <v>135</v>
      </c>
      <c r="C95" s="43">
        <f t="shared" ref="C95:J95" si="19">+C86/(SUM($C$86:$M$86))</f>
        <v>3.8432315059910731E-2</v>
      </c>
      <c r="D95" s="43">
        <f t="shared" si="19"/>
        <v>2.6273446553272305E-2</v>
      </c>
      <c r="E95" s="43">
        <f t="shared" si="19"/>
        <v>0</v>
      </c>
      <c r="F95" s="43">
        <f t="shared" si="19"/>
        <v>0.16988447007960539</v>
      </c>
      <c r="G95" s="43">
        <f t="shared" si="19"/>
        <v>0</v>
      </c>
      <c r="H95" s="43">
        <f t="shared" si="19"/>
        <v>0</v>
      </c>
      <c r="I95" s="43">
        <f t="shared" si="19"/>
        <v>7.8677969999817242E-4</v>
      </c>
      <c r="J95" s="43">
        <f t="shared" si="19"/>
        <v>0</v>
      </c>
      <c r="K95" s="43">
        <f>+L86/(SUM($C$86:$M$86))</f>
        <v>0.12081656741686576</v>
      </c>
      <c r="L95" s="43">
        <f>+M86/(SUM($C$86:$M$86))</f>
        <v>0.58724320504381233</v>
      </c>
      <c r="M95" s="43">
        <f>+O86/(SUM($C$86:$M$86))</f>
        <v>0</v>
      </c>
      <c r="O95" s="43">
        <f>+P86/(SUM($C$86:$M$86))</f>
        <v>0</v>
      </c>
      <c r="P95" s="118">
        <f>+R86/(SUM($C$86:$M$86))</f>
        <v>0</v>
      </c>
      <c r="Q95" s="13"/>
      <c r="R95" s="13"/>
      <c r="S95" s="13"/>
      <c r="T95" s="23"/>
      <c r="Z95" s="37">
        <f>+'%Analysis'!A97</f>
        <v>0</v>
      </c>
    </row>
    <row r="96" spans="1:26" x14ac:dyDescent="0.2">
      <c r="A96" s="44"/>
      <c r="Q96" s="13"/>
      <c r="R96" s="13"/>
      <c r="S96" s="13"/>
      <c r="T96" s="23"/>
      <c r="Z96" s="37">
        <f>+'%Analysis'!A98</f>
        <v>0</v>
      </c>
    </row>
    <row r="97" spans="1:26" x14ac:dyDescent="0.2">
      <c r="A97" s="44"/>
      <c r="B97" s="33"/>
      <c r="C97" s="33"/>
      <c r="D97" s="44"/>
      <c r="E97" s="44"/>
      <c r="F97" s="33"/>
      <c r="G97" s="42"/>
      <c r="H97" s="33"/>
      <c r="I97" s="33"/>
      <c r="J97" s="33"/>
      <c r="K97" s="13"/>
      <c r="L97" s="51"/>
      <c r="M97" s="13"/>
      <c r="O97" s="13"/>
      <c r="P97" s="51"/>
      <c r="Q97" s="13"/>
      <c r="R97" s="13"/>
      <c r="S97" s="13"/>
      <c r="T97" s="23"/>
      <c r="Z97" s="37">
        <f>+'%Analysis'!A99</f>
        <v>0</v>
      </c>
    </row>
    <row r="98" spans="1:26" x14ac:dyDescent="0.2">
      <c r="A98" s="44"/>
      <c r="B98" s="13" t="s">
        <v>0</v>
      </c>
      <c r="C98" s="13" t="s">
        <v>42</v>
      </c>
      <c r="D98" s="13"/>
      <c r="E98" s="24"/>
      <c r="F98" s="13" t="s">
        <v>40</v>
      </c>
      <c r="H98" s="13" t="s">
        <v>2</v>
      </c>
      <c r="I98" s="13" t="s">
        <v>3</v>
      </c>
      <c r="J98" s="13" t="s">
        <v>4</v>
      </c>
      <c r="K98" s="13" t="s">
        <v>5</v>
      </c>
      <c r="L98" s="19" t="s">
        <v>7</v>
      </c>
      <c r="M98" s="19" t="s">
        <v>6</v>
      </c>
      <c r="O98" s="13" t="s">
        <v>8</v>
      </c>
      <c r="P98" s="13" t="s">
        <v>9</v>
      </c>
      <c r="Q98" s="13" t="s">
        <v>10</v>
      </c>
      <c r="R98" s="13" t="s">
        <v>11</v>
      </c>
      <c r="S98" s="13" t="s">
        <v>12</v>
      </c>
      <c r="T98" s="23" t="s">
        <v>13</v>
      </c>
      <c r="U98" s="19" t="s">
        <v>14</v>
      </c>
      <c r="V98" s="19" t="s">
        <v>15</v>
      </c>
      <c r="W98" s="19" t="s">
        <v>16</v>
      </c>
      <c r="Z98" s="37">
        <f>+'%Analysis'!A100</f>
        <v>0</v>
      </c>
    </row>
    <row r="99" spans="1:26" x14ac:dyDescent="0.2">
      <c r="A99" s="44"/>
      <c r="B99" s="13"/>
      <c r="C99" s="13" t="s">
        <v>46</v>
      </c>
      <c r="D99" s="13"/>
      <c r="E99" s="13"/>
      <c r="F99" s="13">
        <v>0.92672503195620193</v>
      </c>
      <c r="G99" s="13"/>
      <c r="H99" s="13">
        <v>408.9</v>
      </c>
      <c r="I99" s="13">
        <v>170.5</v>
      </c>
      <c r="J99" s="13">
        <v>0</v>
      </c>
      <c r="K99" s="38">
        <v>1904.387201518633</v>
      </c>
      <c r="L99" s="13">
        <v>0</v>
      </c>
      <c r="M99" s="13">
        <v>1.4000000000000001</v>
      </c>
      <c r="O99" s="13">
        <v>0</v>
      </c>
      <c r="P99" s="13">
        <v>0</v>
      </c>
      <c r="Q99" s="13">
        <v>1124.7</v>
      </c>
      <c r="R99" s="13">
        <v>16.299999999999997</v>
      </c>
      <c r="S99" s="13">
        <v>280</v>
      </c>
      <c r="T99" s="23">
        <v>5482.7</v>
      </c>
      <c r="U99" s="19">
        <v>0</v>
      </c>
      <c r="V99" s="19">
        <v>1319.1127984813668</v>
      </c>
      <c r="W99" s="19">
        <v>280</v>
      </c>
      <c r="Z99" s="37">
        <f>+'%Analysis'!A101</f>
        <v>0</v>
      </c>
    </row>
    <row r="100" spans="1:26" x14ac:dyDescent="0.2">
      <c r="A100" s="4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23"/>
      <c r="Z100" s="37">
        <f>+'%Analysis'!A102</f>
        <v>0</v>
      </c>
    </row>
    <row r="101" spans="1:26" x14ac:dyDescent="0.2">
      <c r="A101" s="4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23"/>
      <c r="Z101" s="37">
        <f>+'%Analysis'!A103</f>
        <v>0</v>
      </c>
    </row>
    <row r="102" spans="1:26" x14ac:dyDescent="0.2">
      <c r="A102" s="4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23"/>
      <c r="Q102" s="13"/>
      <c r="R102" s="13"/>
      <c r="S102" s="23"/>
      <c r="Z102" s="37">
        <f>+'%Analysis'!A104</f>
        <v>0</v>
      </c>
    </row>
    <row r="103" spans="1:26" x14ac:dyDescent="0.2">
      <c r="A103" s="4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23"/>
      <c r="Q103" s="13"/>
      <c r="R103" s="13"/>
      <c r="S103" s="23"/>
      <c r="Z103" s="37">
        <f>+'%Analysis'!A105</f>
        <v>0</v>
      </c>
    </row>
    <row r="104" spans="1:26" x14ac:dyDescent="0.2">
      <c r="A104" s="4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1"/>
      <c r="N104" s="13"/>
      <c r="O104" s="13"/>
      <c r="P104" s="23"/>
      <c r="Q104" s="13"/>
      <c r="R104" s="13"/>
      <c r="S104" s="23"/>
      <c r="Z104" s="37">
        <f>+'%Analysis'!A106</f>
        <v>0</v>
      </c>
    </row>
    <row r="105" spans="1:26" x14ac:dyDescent="0.2">
      <c r="A105" s="4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51"/>
      <c r="N105" s="13"/>
      <c r="O105" s="13"/>
      <c r="P105" s="13"/>
      <c r="Q105" s="13"/>
      <c r="R105" s="13"/>
      <c r="S105" s="23"/>
      <c r="Z105" s="37">
        <f>+'%Analysis'!A107</f>
        <v>0</v>
      </c>
    </row>
    <row r="106" spans="1:26" x14ac:dyDescent="0.2">
      <c r="A106" s="44"/>
      <c r="B106" s="13"/>
      <c r="C106" s="5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23"/>
      <c r="Z106" s="37">
        <f>+'%Analysis'!A108</f>
        <v>0</v>
      </c>
    </row>
    <row r="107" spans="1:26" x14ac:dyDescent="0.2">
      <c r="A107" s="4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24"/>
      <c r="O107" s="13"/>
      <c r="P107" s="13"/>
      <c r="Q107" s="13"/>
      <c r="R107" s="13"/>
      <c r="S107" s="23"/>
      <c r="Z107" s="37">
        <f>+'%Analysis'!A109</f>
        <v>0</v>
      </c>
    </row>
    <row r="108" spans="1:26" x14ac:dyDescent="0.2">
      <c r="A108" s="4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23"/>
      <c r="Z108" s="37">
        <f>+'%Analysis'!A110</f>
        <v>0</v>
      </c>
    </row>
    <row r="109" spans="1:26" x14ac:dyDescent="0.2">
      <c r="A109" s="4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23"/>
      <c r="Z109" s="37">
        <f>+'%Analysis'!A111</f>
        <v>0</v>
      </c>
    </row>
    <row r="110" spans="1:26" x14ac:dyDescent="0.2">
      <c r="A110" s="139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13"/>
      <c r="P110" s="13"/>
      <c r="Q110" s="13"/>
      <c r="R110" s="13"/>
      <c r="S110" s="23"/>
      <c r="Z110" s="37">
        <f>+'%Analysis'!A112</f>
        <v>0</v>
      </c>
    </row>
    <row r="111" spans="1:26" x14ac:dyDescent="0.2">
      <c r="A111" s="44"/>
      <c r="B111" s="33"/>
      <c r="C111" s="33"/>
      <c r="D111" s="54"/>
      <c r="E111" s="44"/>
      <c r="F111" s="33"/>
      <c r="G111" s="33"/>
      <c r="H111" s="42"/>
      <c r="I111" s="33"/>
      <c r="J111" s="33"/>
      <c r="K111" s="13"/>
      <c r="L111" s="13"/>
      <c r="M111" s="13"/>
      <c r="N111" s="13"/>
      <c r="O111" s="13"/>
      <c r="P111" s="13"/>
      <c r="Q111" s="13"/>
      <c r="R111" s="13"/>
      <c r="S111" s="23"/>
      <c r="Z111" s="37">
        <f>+'%Analysis'!A113</f>
        <v>0</v>
      </c>
    </row>
    <row r="112" spans="1:26" x14ac:dyDescent="0.2">
      <c r="A112" s="44"/>
      <c r="B112" s="13"/>
      <c r="C112" s="13"/>
      <c r="D112" s="13"/>
      <c r="E112" s="13"/>
      <c r="F112" s="13"/>
      <c r="G112" s="5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3"/>
      <c r="Z112" s="37">
        <f>+'%Analysis'!A114</f>
        <v>0</v>
      </c>
    </row>
    <row r="113" spans="1:26" x14ac:dyDescent="0.2">
      <c r="A113" s="44"/>
      <c r="B113" s="13"/>
      <c r="C113" s="13"/>
      <c r="D113" s="13"/>
      <c r="E113" s="13"/>
      <c r="F113" s="13"/>
      <c r="G113" s="5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3"/>
      <c r="Z113" s="37">
        <f>+'%Analysis'!A115</f>
        <v>0</v>
      </c>
    </row>
    <row r="114" spans="1:26" x14ac:dyDescent="0.2">
      <c r="A114" s="44"/>
      <c r="B114" s="13"/>
      <c r="C114" s="13"/>
      <c r="D114" s="13"/>
      <c r="E114" s="13"/>
      <c r="F114" s="13"/>
      <c r="G114" s="5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3"/>
      <c r="Z114" s="37">
        <f>+'%Analysis'!A116</f>
        <v>0</v>
      </c>
    </row>
    <row r="115" spans="1:26" x14ac:dyDescent="0.2">
      <c r="A115" s="4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3"/>
      <c r="Z115" s="37">
        <f>+'%Analysis'!A117</f>
        <v>0</v>
      </c>
    </row>
    <row r="116" spans="1:26" x14ac:dyDescent="0.2">
      <c r="A116" s="4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3"/>
      <c r="Z116" s="37">
        <f>+'%Analysis'!A118</f>
        <v>0</v>
      </c>
    </row>
    <row r="117" spans="1:26" x14ac:dyDescent="0.2">
      <c r="A117" s="4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23"/>
      <c r="Z117" s="37">
        <f>+'%Analysis'!A119</f>
        <v>0</v>
      </c>
    </row>
    <row r="118" spans="1:26" x14ac:dyDescent="0.2">
      <c r="A118" s="4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3"/>
      <c r="Z118" s="37">
        <f>+'%Analysis'!A120</f>
        <v>0</v>
      </c>
    </row>
    <row r="119" spans="1:26" x14ac:dyDescent="0.2">
      <c r="A119" s="4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23"/>
      <c r="Z119" s="37">
        <f>+'%Analysis'!A121</f>
        <v>0</v>
      </c>
    </row>
    <row r="120" spans="1:26" x14ac:dyDescent="0.2">
      <c r="A120" s="4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23"/>
      <c r="Z120" s="37">
        <f>+'%Analysis'!A122</f>
        <v>0</v>
      </c>
    </row>
    <row r="121" spans="1:26" x14ac:dyDescent="0.2">
      <c r="A121" s="139"/>
      <c r="B121" s="23"/>
      <c r="C121" s="33"/>
      <c r="D121" s="33"/>
      <c r="E121" s="33"/>
      <c r="F121" s="33"/>
      <c r="G121" s="33"/>
      <c r="H121" s="23"/>
      <c r="I121" s="23"/>
      <c r="J121" s="13"/>
      <c r="K121" s="13"/>
      <c r="L121" s="13"/>
      <c r="M121" s="23"/>
      <c r="N121" s="23"/>
      <c r="O121" s="13"/>
      <c r="P121" s="13"/>
      <c r="Q121" s="23"/>
      <c r="R121" s="23"/>
      <c r="S121" s="23"/>
      <c r="Z121" s="37">
        <f>+'%Analysis'!A123</f>
        <v>0</v>
      </c>
    </row>
    <row r="122" spans="1:26" x14ac:dyDescent="0.2">
      <c r="A122" s="139"/>
      <c r="B122" s="23"/>
      <c r="C122" s="50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Z122" s="37">
        <f>+'%Analysis'!A124</f>
        <v>0</v>
      </c>
    </row>
    <row r="123" spans="1:26" x14ac:dyDescent="0.2">
      <c r="A123" s="44"/>
      <c r="B123" s="33"/>
      <c r="C123" s="11"/>
      <c r="D123" s="56"/>
      <c r="E123" s="57"/>
      <c r="F123" s="11"/>
      <c r="G123" s="11"/>
      <c r="H123" s="15"/>
      <c r="I123" s="11"/>
      <c r="J123" s="11"/>
      <c r="K123" s="58"/>
      <c r="L123" s="58"/>
      <c r="M123" s="13"/>
      <c r="N123" s="13"/>
      <c r="O123" s="23"/>
      <c r="P123" s="23"/>
      <c r="Q123" s="23"/>
      <c r="R123" s="23"/>
      <c r="S123" s="23"/>
      <c r="Z123" s="37">
        <f>+'%Analysis'!A125</f>
        <v>0</v>
      </c>
    </row>
    <row r="124" spans="1:26" x14ac:dyDescent="0.2">
      <c r="A124" s="44"/>
      <c r="B124" s="13"/>
      <c r="C124" s="13"/>
      <c r="D124" s="13"/>
      <c r="E124" s="13"/>
      <c r="F124" s="13"/>
      <c r="G124" s="55"/>
      <c r="H124" s="13"/>
      <c r="I124" s="13"/>
      <c r="J124" s="13"/>
      <c r="K124" s="13"/>
      <c r="L124" s="13"/>
      <c r="M124" s="13"/>
      <c r="N124" s="13"/>
      <c r="O124" s="23"/>
      <c r="P124" s="59"/>
      <c r="Q124" s="23"/>
      <c r="R124" s="23"/>
      <c r="S124" s="23"/>
      <c r="Z124" s="37">
        <f>+'%Analysis'!A126</f>
        <v>0</v>
      </c>
    </row>
    <row r="125" spans="1:26" x14ac:dyDescent="0.2">
      <c r="A125" s="44"/>
      <c r="B125" s="13"/>
      <c r="C125" s="13"/>
      <c r="D125" s="13"/>
      <c r="E125" s="13"/>
      <c r="F125" s="13"/>
      <c r="G125" s="55"/>
      <c r="H125" s="13"/>
      <c r="I125" s="13"/>
      <c r="J125" s="13"/>
      <c r="K125" s="13"/>
      <c r="L125" s="13"/>
      <c r="M125" s="13"/>
      <c r="N125" s="13"/>
      <c r="O125" s="23"/>
      <c r="P125" s="59"/>
      <c r="Q125" s="23"/>
      <c r="R125" s="23"/>
      <c r="S125" s="23"/>
      <c r="Z125" s="37">
        <f>+'%Analysis'!A127</f>
        <v>0</v>
      </c>
    </row>
    <row r="126" spans="1:26" x14ac:dyDescent="0.2">
      <c r="A126" s="44"/>
      <c r="B126" s="13"/>
      <c r="C126" s="13"/>
      <c r="D126" s="13"/>
      <c r="E126" s="13"/>
      <c r="F126" s="13"/>
      <c r="G126" s="55"/>
      <c r="H126" s="13"/>
      <c r="I126" s="13"/>
      <c r="J126" s="13"/>
      <c r="K126" s="13"/>
      <c r="L126" s="13"/>
      <c r="M126" s="13"/>
      <c r="N126" s="13"/>
      <c r="O126" s="23"/>
      <c r="P126" s="59"/>
      <c r="Q126" s="23"/>
      <c r="R126" s="23"/>
      <c r="S126" s="23"/>
      <c r="Z126" s="37">
        <f>+'%Analysis'!A128</f>
        <v>0</v>
      </c>
    </row>
    <row r="127" spans="1:26" x14ac:dyDescent="0.2">
      <c r="A127" s="44"/>
      <c r="B127" s="13"/>
      <c r="C127" s="13"/>
      <c r="D127" s="13"/>
      <c r="E127" s="13"/>
      <c r="F127" s="13"/>
      <c r="G127" s="55"/>
      <c r="H127" s="13"/>
      <c r="I127" s="13"/>
      <c r="J127" s="13"/>
      <c r="K127" s="13"/>
      <c r="L127" s="13"/>
      <c r="M127" s="13"/>
      <c r="N127" s="13"/>
      <c r="O127" s="23"/>
      <c r="P127" s="59"/>
      <c r="Q127" s="23"/>
      <c r="R127" s="23"/>
      <c r="S127" s="23"/>
      <c r="Z127" s="37">
        <f>+'%Analysis'!A129</f>
        <v>0</v>
      </c>
    </row>
    <row r="128" spans="1:26" x14ac:dyDescent="0.2">
      <c r="A128" s="44"/>
      <c r="B128" s="13"/>
      <c r="C128" s="13"/>
      <c r="D128" s="13"/>
      <c r="E128" s="13"/>
      <c r="F128" s="13"/>
      <c r="G128" s="55"/>
      <c r="H128" s="13"/>
      <c r="I128" s="13"/>
      <c r="J128" s="13"/>
      <c r="K128" s="13"/>
      <c r="L128" s="13"/>
      <c r="M128" s="13"/>
      <c r="N128" s="13"/>
      <c r="O128" s="23"/>
      <c r="P128" s="59"/>
      <c r="Q128" s="23"/>
      <c r="R128" s="23"/>
      <c r="S128" s="23"/>
      <c r="Z128" s="37">
        <f>+'%Analysis'!A130</f>
        <v>0</v>
      </c>
    </row>
    <row r="129" spans="1:26" x14ac:dyDescent="0.2">
      <c r="A129" s="44"/>
      <c r="B129" s="13"/>
      <c r="C129" s="13"/>
      <c r="D129" s="13"/>
      <c r="E129" s="13"/>
      <c r="F129" s="13"/>
      <c r="G129" s="55"/>
      <c r="H129" s="13"/>
      <c r="I129" s="13"/>
      <c r="J129" s="13"/>
      <c r="K129" s="13"/>
      <c r="L129" s="13"/>
      <c r="M129" s="13"/>
      <c r="N129" s="13"/>
      <c r="O129" s="23"/>
      <c r="P129" s="59"/>
      <c r="Q129" s="23"/>
      <c r="R129" s="23"/>
      <c r="S129" s="23"/>
      <c r="Z129" s="37">
        <f>+'%Analysis'!A131</f>
        <v>0</v>
      </c>
    </row>
    <row r="130" spans="1:26" x14ac:dyDescent="0.2">
      <c r="A130" s="44"/>
      <c r="B130" s="13"/>
      <c r="C130" s="13"/>
      <c r="D130" s="13"/>
      <c r="E130" s="13"/>
      <c r="F130" s="13"/>
      <c r="G130" s="55"/>
      <c r="H130" s="13"/>
      <c r="I130" s="13"/>
      <c r="J130" s="13"/>
      <c r="K130" s="13"/>
      <c r="L130" s="13"/>
      <c r="M130" s="13"/>
      <c r="N130" s="13"/>
      <c r="O130" s="23"/>
      <c r="P130" s="59"/>
      <c r="Q130" s="23"/>
      <c r="R130" s="23"/>
      <c r="S130" s="23"/>
      <c r="Z130" s="37">
        <f>+'%Analysis'!A132</f>
        <v>0</v>
      </c>
    </row>
    <row r="131" spans="1:26" x14ac:dyDescent="0.2">
      <c r="A131" s="44"/>
      <c r="B131" s="13"/>
      <c r="C131" s="13"/>
      <c r="D131" s="13"/>
      <c r="E131" s="13"/>
      <c r="F131" s="13"/>
      <c r="G131" s="55"/>
      <c r="H131" s="13"/>
      <c r="I131" s="13"/>
      <c r="J131" s="13"/>
      <c r="K131" s="13"/>
      <c r="L131" s="13"/>
      <c r="M131" s="13"/>
      <c r="N131" s="13"/>
      <c r="O131" s="23"/>
      <c r="P131" s="59"/>
      <c r="Q131" s="23"/>
      <c r="R131" s="23"/>
      <c r="S131" s="23"/>
      <c r="Z131" s="37">
        <f>+'%Analysis'!A133</f>
        <v>0</v>
      </c>
    </row>
    <row r="132" spans="1:26" x14ac:dyDescent="0.2">
      <c r="A132" s="44"/>
      <c r="B132" s="13"/>
      <c r="C132" s="13"/>
      <c r="D132" s="13"/>
      <c r="E132" s="13"/>
      <c r="F132" s="13"/>
      <c r="G132" s="55"/>
      <c r="H132" s="13"/>
      <c r="I132" s="13"/>
      <c r="J132" s="13"/>
      <c r="K132" s="13"/>
      <c r="L132" s="13"/>
      <c r="M132" s="13"/>
      <c r="N132" s="13"/>
      <c r="O132" s="23"/>
      <c r="P132" s="59"/>
      <c r="Q132" s="23"/>
      <c r="R132" s="23"/>
      <c r="S132" s="23"/>
      <c r="Z132" s="37">
        <f>+'%Analysis'!A134</f>
        <v>0</v>
      </c>
    </row>
    <row r="133" spans="1:26" x14ac:dyDescent="0.2">
      <c r="A133" s="139"/>
      <c r="B133" s="23"/>
      <c r="C133" s="33"/>
      <c r="D133" s="33"/>
      <c r="E133" s="33"/>
      <c r="F133" s="60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Z133" s="37">
        <f>+'%Analysis'!A135</f>
        <v>0</v>
      </c>
    </row>
    <row r="134" spans="1:26" x14ac:dyDescent="0.2">
      <c r="A134" s="53"/>
      <c r="B134" s="19"/>
      <c r="C134" s="40"/>
      <c r="D134" s="40"/>
      <c r="Z134" s="37">
        <f>+'%Analysis'!A136</f>
        <v>0</v>
      </c>
    </row>
    <row r="135" spans="1:26" x14ac:dyDescent="0.2">
      <c r="A135" s="53"/>
      <c r="B135" s="25" t="s">
        <v>0</v>
      </c>
      <c r="C135" s="26" t="s">
        <v>42</v>
      </c>
      <c r="D135" s="26"/>
      <c r="E135" s="26"/>
      <c r="F135" s="26" t="s">
        <v>40</v>
      </c>
      <c r="G135" s="26"/>
      <c r="H135" s="25" t="s">
        <v>2</v>
      </c>
      <c r="I135" s="25" t="s">
        <v>3</v>
      </c>
      <c r="J135" s="25" t="s">
        <v>4</v>
      </c>
      <c r="K135" s="25" t="s">
        <v>5</v>
      </c>
      <c r="L135" s="25" t="s">
        <v>7</v>
      </c>
      <c r="M135" s="25" t="s">
        <v>6</v>
      </c>
      <c r="N135" s="25" t="s">
        <v>8</v>
      </c>
      <c r="O135" s="25" t="s">
        <v>9</v>
      </c>
      <c r="P135" s="25" t="s">
        <v>10</v>
      </c>
      <c r="Q135" s="25" t="s">
        <v>11</v>
      </c>
      <c r="R135" s="25" t="s">
        <v>12</v>
      </c>
      <c r="S135" s="25" t="s">
        <v>13</v>
      </c>
      <c r="T135" s="25" t="s">
        <v>14</v>
      </c>
      <c r="U135" s="25" t="s">
        <v>15</v>
      </c>
      <c r="V135" s="25" t="s">
        <v>16</v>
      </c>
      <c r="Z135" s="37">
        <f>+'%Analysis'!A137</f>
        <v>0</v>
      </c>
    </row>
    <row r="136" spans="1:26" x14ac:dyDescent="0.2">
      <c r="A136" s="53"/>
      <c r="B136" s="19" t="str">
        <f t="shared" ref="B136:C148" si="20">B7</f>
        <v>Dolomite</v>
      </c>
      <c r="C136" s="40">
        <f t="shared" si="20"/>
        <v>12</v>
      </c>
      <c r="D136" s="40"/>
      <c r="H136" s="19">
        <f>IF(ISERROR(+$C136*+VLOOKUP($B136,'%Analysis'!$A$4:$S$204,4,0)),"",+$C136*+VLOOKUP($B136,'%Analysis'!$A$4:$S$204,4,0))</f>
        <v>0</v>
      </c>
      <c r="I136" s="19">
        <f>IF(ISERROR(+$C136*+VLOOKUP($B136,'%Analysis'!$A$4:$S$204,5,0)),"",+$C136*+VLOOKUP($B136,'%Analysis'!$A$4:$S$204,5,0))</f>
        <v>0</v>
      </c>
      <c r="J136" s="19">
        <f>IF(ISERROR(+$C136*+VLOOKUP($B136,'%Analysis'!$A$4:$S$204,6,0)),"",+$C136*+VLOOKUP($B136,'%Analysis'!$A$4:$S$204,6,0))</f>
        <v>0</v>
      </c>
      <c r="K136" s="19">
        <f>IF(ISERROR(+$C136*+VLOOKUP($B136,'%Analysis'!$A$4:$S$204,7,0)),"",+$C136*+VLOOKUP($B136,'%Analysis'!$A$4:$S$204,7,0))</f>
        <v>365.88</v>
      </c>
      <c r="L136" s="19">
        <f>IF(ISERROR(+$C136*+VLOOKUP($B136,'%Analysis'!$A$4:$S$204,8,0)),"",+$C136*+VLOOKUP($B136,'%Analysis'!$A$4:$S$204,8,0))</f>
        <v>0</v>
      </c>
      <c r="M136" s="19">
        <f>IF(ISERROR(+$C136*+VLOOKUP($B136,'%Analysis'!$A$4:$S$204,9,0)),"",+$C136*+VLOOKUP($B136,'%Analysis'!$A$4:$S$204,9,0))</f>
        <v>262.79999999999995</v>
      </c>
      <c r="N136" s="19">
        <f>IF(ISERROR(+$C136*+VLOOKUP($B136,'%Analysis'!$A$4:$S$204,10,0)),"",+$C136*+VLOOKUP($B136,'%Analysis'!$A$4:$S$204,10,0))</f>
        <v>0</v>
      </c>
      <c r="O136" s="19">
        <f>IF(ISERROR(+$C136*+VLOOKUP($B136,'%Analysis'!$A$4:$S$204,11,0)),"",+$C136*+VLOOKUP($B136,'%Analysis'!$A$4:$S$204,11,0))</f>
        <v>0</v>
      </c>
      <c r="P136" s="19">
        <f>IF(ISERROR(+$C136*+VLOOKUP($B136,'%Analysis'!$A$4:$S$204,12,0)),"",+$C136*+VLOOKUP($B136,'%Analysis'!$A$4:$S$204,12,0))</f>
        <v>0</v>
      </c>
      <c r="Q136" s="19">
        <f>IF(ISERROR(+$C136*+VLOOKUP($B136,'%Analysis'!$A$4:$S$204,13,0)),"",+$C136*+VLOOKUP($B136,'%Analysis'!$A$4:$S$204,13,0))</f>
        <v>0</v>
      </c>
      <c r="R136" s="19">
        <f>IF(ISERROR(+$C136*+VLOOKUP($B136,'%Analysis'!$A$4:$S$204,14,0)),"",+$C136*+VLOOKUP($B136,'%Analysis'!$A$4:$S$204,14,0))</f>
        <v>0</v>
      </c>
      <c r="S136" s="19">
        <f>IF(ISERROR(+$C136*+VLOOKUP($B136,'%Analysis'!$A$4:$S$204,15,0)),"",+$C136*+VLOOKUP($B136,'%Analysis'!$A$4:$S$204,15,0))</f>
        <v>0</v>
      </c>
      <c r="T136" s="19">
        <f>IF(ISERROR(+$C136*+VLOOKUP($B136,'%Analysis'!$A$4:$S$204,16,0)),"",+$C136*+VLOOKUP($B136,'%Analysis'!$A$4:$S$204,16,0))</f>
        <v>0</v>
      </c>
      <c r="U136" s="19">
        <f>IF(ISERROR(+$C136*+VLOOKUP($B136,'%Analysis'!$A$4:$S$204,17,0)),"",+$C136*+VLOOKUP($B136,'%Analysis'!$A$4:$S$204,17,0))</f>
        <v>571.31999999999994</v>
      </c>
      <c r="V136" s="19">
        <f>IF(ISERROR(+$C136*+VLOOKUP($B136,'%Analysis'!$A$4:$S$204,18,0)),"",+$C136*+VLOOKUP($B136,'%Analysis'!$A$4:$S$204,18,0))</f>
        <v>0</v>
      </c>
      <c r="Z136" s="37">
        <f>+'%Analysis'!A138</f>
        <v>0</v>
      </c>
    </row>
    <row r="137" spans="1:26" x14ac:dyDescent="0.2">
      <c r="A137" s="53"/>
      <c r="B137" s="19" t="str">
        <f t="shared" si="20"/>
        <v>Gillespie Borate</v>
      </c>
      <c r="C137" s="40">
        <f t="shared" si="20"/>
        <v>14</v>
      </c>
      <c r="D137" s="40"/>
      <c r="H137" s="19">
        <f>IF(ISERROR(+$C137*+VLOOKUP($B137,'%Analysis'!$A$4:$S$204,4,0)),"",+$C137*+VLOOKUP($B137,'%Analysis'!$A$4:$S$204,4,0))</f>
        <v>0</v>
      </c>
      <c r="I137" s="19">
        <f>IF(ISERROR(+$C137*+VLOOKUP($B137,'%Analysis'!$A$4:$S$204,5,0)),"",+$C137*+VLOOKUP($B137,'%Analysis'!$A$4:$S$204,5,0))</f>
        <v>52.78</v>
      </c>
      <c r="J137" s="19">
        <f>IF(ISERROR(+$C137*+VLOOKUP($B137,'%Analysis'!$A$4:$S$204,6,0)),"",+$C137*+VLOOKUP($B137,'%Analysis'!$A$4:$S$204,6,0))</f>
        <v>0</v>
      </c>
      <c r="K137" s="19">
        <f>IF(ISERROR(+$C137*+VLOOKUP($B137,'%Analysis'!$A$4:$S$204,7,0)),"",+$C137*+VLOOKUP($B137,'%Analysis'!$A$4:$S$204,7,0))</f>
        <v>322</v>
      </c>
      <c r="L137" s="19">
        <f>IF(ISERROR(+$C137*+VLOOKUP($B137,'%Analysis'!$A$4:$S$204,8,0)),"",+$C137*+VLOOKUP($B137,'%Analysis'!$A$4:$S$204,8,0))</f>
        <v>6.3</v>
      </c>
      <c r="M137" s="19">
        <f>IF(ISERROR(+$C137*+VLOOKUP($B137,'%Analysis'!$A$4:$S$204,9,0)),"",+$C137*+VLOOKUP($B137,'%Analysis'!$A$4:$S$204,9,0))</f>
        <v>54.6</v>
      </c>
      <c r="N137" s="19">
        <f>IF(ISERROR(+$C137*+VLOOKUP($B137,'%Analysis'!$A$4:$S$204,10,0)),"",+$C137*+VLOOKUP($B137,'%Analysis'!$A$4:$S$204,10,0))</f>
        <v>0</v>
      </c>
      <c r="O137" s="19">
        <f>IF(ISERROR(+$C137*+VLOOKUP($B137,'%Analysis'!$A$4:$S$204,11,0)),"",+$C137*+VLOOKUP($B137,'%Analysis'!$A$4:$S$204,11,0))</f>
        <v>0</v>
      </c>
      <c r="P137" s="19">
        <f>IF(ISERROR(+$C137*+VLOOKUP($B137,'%Analysis'!$A$4:$S$204,12,0)),"",+$C137*+VLOOKUP($B137,'%Analysis'!$A$4:$S$204,12,0))</f>
        <v>23.8</v>
      </c>
      <c r="Q137" s="19">
        <f>IF(ISERROR(+$C137*+VLOOKUP($B137,'%Analysis'!$A$4:$S$204,13,0)),"",+$C137*+VLOOKUP($B137,'%Analysis'!$A$4:$S$204,13,0))</f>
        <v>0</v>
      </c>
      <c r="R137" s="19">
        <f>IF(ISERROR(+$C137*+VLOOKUP($B137,'%Analysis'!$A$4:$S$204,14,0)),"",+$C137*+VLOOKUP($B137,'%Analysis'!$A$4:$S$204,14,0))</f>
        <v>343</v>
      </c>
      <c r="S137" s="19">
        <f>IF(ISERROR(+$C137*+VLOOKUP($B137,'%Analysis'!$A$4:$S$204,15,0)),"",+$C137*+VLOOKUP($B137,'%Analysis'!$A$4:$S$204,15,0))</f>
        <v>165.20000000000002</v>
      </c>
      <c r="T137" s="19">
        <f>IF(ISERROR(+$C137*+VLOOKUP($B137,'%Analysis'!$A$4:$S$204,16,0)),"",+$C137*+VLOOKUP($B137,'%Analysis'!$A$4:$S$204,16,0))</f>
        <v>0</v>
      </c>
      <c r="U137" s="19">
        <f>IF(ISERROR(+$C137*+VLOOKUP($B137,'%Analysis'!$A$4:$S$204,17,0)),"",+$C137*+VLOOKUP($B137,'%Analysis'!$A$4:$S$204,17,0))</f>
        <v>432.59999999999997</v>
      </c>
      <c r="V137" s="19">
        <f>IF(ISERROR(+$C137*+VLOOKUP($B137,'%Analysis'!$A$4:$S$204,18,0)),"",+$C137*+VLOOKUP($B137,'%Analysis'!$A$4:$S$204,18,0))</f>
        <v>0</v>
      </c>
      <c r="Z137" s="37">
        <f>+'%Analysis'!A139</f>
        <v>0</v>
      </c>
    </row>
    <row r="138" spans="1:26" x14ac:dyDescent="0.2">
      <c r="A138" s="53"/>
      <c r="B138" s="19" t="str">
        <f t="shared" si="20"/>
        <v>Wollastonite</v>
      </c>
      <c r="C138" s="40">
        <f t="shared" si="20"/>
        <v>10</v>
      </c>
      <c r="D138" s="40"/>
      <c r="H138" s="19">
        <f>IF(ISERROR(+$C138*+VLOOKUP($B138,'%Analysis'!$A$4:$S$204,4,0)),"",+$C138*+VLOOKUP($B138,'%Analysis'!$A$4:$S$204,4,0))</f>
        <v>0</v>
      </c>
      <c r="I138" s="19">
        <f>IF(ISERROR(+$C138*+VLOOKUP($B138,'%Analysis'!$A$4:$S$204,5,0)),"",+$C138*+VLOOKUP($B138,'%Analysis'!$A$4:$S$204,5,0))</f>
        <v>0</v>
      </c>
      <c r="J138" s="19">
        <f>IF(ISERROR(+$C138*+VLOOKUP($B138,'%Analysis'!$A$4:$S$204,6,0)),"",+$C138*+VLOOKUP($B138,'%Analysis'!$A$4:$S$204,6,0))</f>
        <v>0</v>
      </c>
      <c r="K138" s="19">
        <f>IF(ISERROR(+$C138*+VLOOKUP($B138,'%Analysis'!$A$4:$S$204,7,0)),"",+$C138*+VLOOKUP($B138,'%Analysis'!$A$4:$S$204,7,0))</f>
        <v>482.8</v>
      </c>
      <c r="L138" s="19">
        <f>IF(ISERROR(+$C138*+VLOOKUP($B138,'%Analysis'!$A$4:$S$204,8,0)),"",+$C138*+VLOOKUP($B138,'%Analysis'!$A$4:$S$204,8,0))</f>
        <v>0</v>
      </c>
      <c r="M138" s="19">
        <f>IF(ISERROR(+$C138*+VLOOKUP($B138,'%Analysis'!$A$4:$S$204,9,0)),"",+$C138*+VLOOKUP($B138,'%Analysis'!$A$4:$S$204,9,0))</f>
        <v>0</v>
      </c>
      <c r="N138" s="19">
        <f>IF(ISERROR(+$C138*+VLOOKUP($B138,'%Analysis'!$A$4:$S$204,10,0)),"",+$C138*+VLOOKUP($B138,'%Analysis'!$A$4:$S$204,10,0))</f>
        <v>0</v>
      </c>
      <c r="O138" s="19">
        <f>IF(ISERROR(+$C138*+VLOOKUP($B138,'%Analysis'!$A$4:$S$204,11,0)),"",+$C138*+VLOOKUP($B138,'%Analysis'!$A$4:$S$204,11,0))</f>
        <v>0</v>
      </c>
      <c r="P138" s="19">
        <f>IF(ISERROR(+$C138*+VLOOKUP($B138,'%Analysis'!$A$4:$S$204,12,0)),"",+$C138*+VLOOKUP($B138,'%Analysis'!$A$4:$S$204,12,0))</f>
        <v>0</v>
      </c>
      <c r="Q138" s="19">
        <f>IF(ISERROR(+$C138*+VLOOKUP($B138,'%Analysis'!$A$4:$S$204,13,0)),"",+$C138*+VLOOKUP($B138,'%Analysis'!$A$4:$S$204,13,0))</f>
        <v>0</v>
      </c>
      <c r="R138" s="19">
        <f>IF(ISERROR(+$C138*+VLOOKUP($B138,'%Analysis'!$A$4:$S$204,14,0)),"",+$C138*+VLOOKUP($B138,'%Analysis'!$A$4:$S$204,14,0))</f>
        <v>0</v>
      </c>
      <c r="S138" s="19">
        <f>IF(ISERROR(+$C138*+VLOOKUP($B138,'%Analysis'!$A$4:$S$204,15,0)),"",+$C138*+VLOOKUP($B138,'%Analysis'!$A$4:$S$204,15,0))</f>
        <v>517.20000000000005</v>
      </c>
      <c r="T138" s="19">
        <f>IF(ISERROR(+$C138*+VLOOKUP($B138,'%Analysis'!$A$4:$S$204,16,0)),"",+$C138*+VLOOKUP($B138,'%Analysis'!$A$4:$S$204,16,0))</f>
        <v>0</v>
      </c>
      <c r="U138" s="19">
        <f>IF(ISERROR(+$C138*+VLOOKUP($B138,'%Analysis'!$A$4:$S$204,17,0)),"",+$C138*+VLOOKUP($B138,'%Analysis'!$A$4:$S$204,17,0))</f>
        <v>0</v>
      </c>
      <c r="V138" s="19">
        <f>IF(ISERROR(+$C138*+VLOOKUP($B138,'%Analysis'!$A$4:$S$204,18,0)),"",+$C138*+VLOOKUP($B138,'%Analysis'!$A$4:$S$204,18,0))</f>
        <v>0</v>
      </c>
      <c r="Z138" s="37">
        <f>+'%Analysis'!A140</f>
        <v>0</v>
      </c>
    </row>
    <row r="139" spans="1:26" x14ac:dyDescent="0.2">
      <c r="A139" s="53"/>
      <c r="B139" s="19" t="str">
        <f t="shared" si="20"/>
        <v>Ferro3124</v>
      </c>
      <c r="C139" s="40">
        <f t="shared" si="20"/>
        <v>8</v>
      </c>
      <c r="D139" s="40"/>
      <c r="H139" s="19">
        <f>IF(ISERROR(+$C139*+VLOOKUP($B139,'%Analysis'!$A$4:$S$204,4,0)),"",+$C139*+VLOOKUP($B139,'%Analysis'!$A$4:$S$204,4,0))</f>
        <v>5.44</v>
      </c>
      <c r="I139" s="19">
        <f>IF(ISERROR(+$C139*+VLOOKUP($B139,'%Analysis'!$A$4:$S$204,5,0)),"",+$C139*+VLOOKUP($B139,'%Analysis'!$A$4:$S$204,5,0))</f>
        <v>51.2</v>
      </c>
      <c r="J139" s="19">
        <f>IF(ISERROR(+$C139*+VLOOKUP($B139,'%Analysis'!$A$4:$S$204,6,0)),"",+$C139*+VLOOKUP($B139,'%Analysis'!$A$4:$S$204,6,0))</f>
        <v>0</v>
      </c>
      <c r="K139" s="19">
        <f>IF(ISERROR(+$C139*+VLOOKUP($B139,'%Analysis'!$A$4:$S$204,7,0)),"",+$C139*+VLOOKUP($B139,'%Analysis'!$A$4:$S$204,7,0))</f>
        <v>114.24</v>
      </c>
      <c r="L139" s="19">
        <f>IF(ISERROR(+$C139*+VLOOKUP($B139,'%Analysis'!$A$4:$S$204,8,0)),"",+$C139*+VLOOKUP($B139,'%Analysis'!$A$4:$S$204,8,0))</f>
        <v>0</v>
      </c>
      <c r="M139" s="19">
        <f>IF(ISERROR(+$C139*+VLOOKUP($B139,'%Analysis'!$A$4:$S$204,9,0)),"",+$C139*+VLOOKUP($B139,'%Analysis'!$A$4:$S$204,9,0))</f>
        <v>0</v>
      </c>
      <c r="N139" s="19">
        <f>IF(ISERROR(+$C139*+VLOOKUP($B139,'%Analysis'!$A$4:$S$204,10,0)),"",+$C139*+VLOOKUP($B139,'%Analysis'!$A$4:$S$204,10,0))</f>
        <v>0</v>
      </c>
      <c r="O139" s="19">
        <f>IF(ISERROR(+$C139*+VLOOKUP($B139,'%Analysis'!$A$4:$S$204,11,0)),"",+$C139*+VLOOKUP($B139,'%Analysis'!$A$4:$S$204,11,0))</f>
        <v>0</v>
      </c>
      <c r="P139" s="19">
        <f>IF(ISERROR(+$C139*+VLOOKUP($B139,'%Analysis'!$A$4:$S$204,12,0)),"",+$C139*+VLOOKUP($B139,'%Analysis'!$A$4:$S$204,12,0))</f>
        <v>80.08</v>
      </c>
      <c r="Q139" s="19">
        <f>IF(ISERROR(+$C139*+VLOOKUP($B139,'%Analysis'!$A$4:$S$204,13,0)),"",+$C139*+VLOOKUP($B139,'%Analysis'!$A$4:$S$204,13,0))</f>
        <v>0</v>
      </c>
      <c r="R139" s="19">
        <f>IF(ISERROR(+$C139*+VLOOKUP($B139,'%Analysis'!$A$4:$S$204,14,0)),"",+$C139*+VLOOKUP($B139,'%Analysis'!$A$4:$S$204,14,0))</f>
        <v>109.92</v>
      </c>
      <c r="S139" s="19">
        <f>IF(ISERROR(+$C139*+VLOOKUP($B139,'%Analysis'!$A$4:$S$204,15,0)),"",+$C139*+VLOOKUP($B139,'%Analysis'!$A$4:$S$204,15,0))</f>
        <v>439.52</v>
      </c>
      <c r="T139" s="19">
        <f>IF(ISERROR(+$C139*+VLOOKUP($B139,'%Analysis'!$A$4:$S$204,16,0)),"",+$C139*+VLOOKUP($B139,'%Analysis'!$A$4:$S$204,16,0))</f>
        <v>0</v>
      </c>
      <c r="U139" s="19">
        <f>IF(ISERROR(+$C139*+VLOOKUP($B139,'%Analysis'!$A$4:$S$204,17,0)),"",+$C139*+VLOOKUP($B139,'%Analysis'!$A$4:$S$204,17,0))</f>
        <v>0</v>
      </c>
      <c r="V139" s="19">
        <f>IF(ISERROR(+$C139*+VLOOKUP($B139,'%Analysis'!$A$4:$S$204,18,0)),"",+$C139*+VLOOKUP($B139,'%Analysis'!$A$4:$S$204,18,0))</f>
        <v>0</v>
      </c>
      <c r="Z139" s="37">
        <f>+'%Analysis'!A141</f>
        <v>0</v>
      </c>
    </row>
    <row r="140" spans="1:26" x14ac:dyDescent="0.2">
      <c r="A140" s="53"/>
      <c r="B140" s="19" t="str">
        <f t="shared" si="20"/>
        <v>Cornwall</v>
      </c>
      <c r="C140" s="40">
        <f t="shared" si="20"/>
        <v>46</v>
      </c>
      <c r="D140" s="40"/>
      <c r="H140" s="19">
        <f>IF(ISERROR(+$C140*+VLOOKUP($B140,'%Analysis'!$A$4:$S$204,4,0)),"",+$C140*+VLOOKUP($B140,'%Analysis'!$A$4:$S$204,4,0))</f>
        <v>299</v>
      </c>
      <c r="I140" s="19">
        <f>IF(ISERROR(+$C140*+VLOOKUP($B140,'%Analysis'!$A$4:$S$204,5,0)),"",+$C140*+VLOOKUP($B140,'%Analysis'!$A$4:$S$204,5,0))</f>
        <v>105.8</v>
      </c>
      <c r="J140" s="19">
        <f>IF(ISERROR(+$C140*+VLOOKUP($B140,'%Analysis'!$A$4:$S$204,6,0)),"",+$C140*+VLOOKUP($B140,'%Analysis'!$A$4:$S$204,6,0))</f>
        <v>0</v>
      </c>
      <c r="K140" s="19">
        <f>IF(ISERROR(+$C140*+VLOOKUP($B140,'%Analysis'!$A$4:$S$204,7,0)),"",+$C140*+VLOOKUP($B140,'%Analysis'!$A$4:$S$204,7,0))</f>
        <v>73.600000000000009</v>
      </c>
      <c r="L140" s="19">
        <f>IF(ISERROR(+$C140*+VLOOKUP($B140,'%Analysis'!$A$4:$S$204,8,0)),"",+$C140*+VLOOKUP($B140,'%Analysis'!$A$4:$S$204,8,0))</f>
        <v>0</v>
      </c>
      <c r="M140" s="19">
        <f>IF(ISERROR(+$C140*+VLOOKUP($B140,'%Analysis'!$A$4:$S$204,9,0)),"",+$C140*+VLOOKUP($B140,'%Analysis'!$A$4:$S$204,9,0))</f>
        <v>0</v>
      </c>
      <c r="N140" s="19">
        <f>IF(ISERROR(+$C140*+VLOOKUP($B140,'%Analysis'!$A$4:$S$204,10,0)),"",+$C140*+VLOOKUP($B140,'%Analysis'!$A$4:$S$204,10,0))</f>
        <v>0</v>
      </c>
      <c r="O140" s="19">
        <f>IF(ISERROR(+$C140*+VLOOKUP($B140,'%Analysis'!$A$4:$S$204,11,0)),"",+$C140*+VLOOKUP($B140,'%Analysis'!$A$4:$S$204,11,0))</f>
        <v>0</v>
      </c>
      <c r="P140" s="19">
        <f>IF(ISERROR(+$C140*+VLOOKUP($B140,'%Analysis'!$A$4:$S$204,12,0)),"",+$C140*+VLOOKUP($B140,'%Analysis'!$A$4:$S$204,12,0))</f>
        <v>768.19999999999993</v>
      </c>
      <c r="Q140" s="19">
        <f>IF(ISERROR(+$C140*+VLOOKUP($B140,'%Analysis'!$A$4:$S$204,13,0)),"",+$C140*+VLOOKUP($B140,'%Analysis'!$A$4:$S$204,13,0))</f>
        <v>9.2000000000000011</v>
      </c>
      <c r="R140" s="19">
        <f>IF(ISERROR(+$C140*+VLOOKUP($B140,'%Analysis'!$A$4:$S$204,14,0)),"",+$C140*+VLOOKUP($B140,'%Analysis'!$A$4:$S$204,14,0))</f>
        <v>0</v>
      </c>
      <c r="S140" s="19">
        <f>IF(ISERROR(+$C140*+VLOOKUP($B140,'%Analysis'!$A$4:$S$204,15,0)),"",+$C140*+VLOOKUP($B140,'%Analysis'!$A$4:$S$204,15,0))</f>
        <v>3261.4</v>
      </c>
      <c r="T140" s="19">
        <f>IF(ISERROR(+$C140*+VLOOKUP($B140,'%Analysis'!$A$4:$S$204,16,0)),"",+$C140*+VLOOKUP($B140,'%Analysis'!$A$4:$S$204,16,0))</f>
        <v>23</v>
      </c>
      <c r="U140" s="19">
        <f>IF(ISERROR(+$C140*+VLOOKUP($B140,'%Analysis'!$A$4:$S$204,17,0)),"",+$C140*+VLOOKUP($B140,'%Analysis'!$A$4:$S$204,17,0))</f>
        <v>0</v>
      </c>
      <c r="V140" s="19">
        <f>IF(ISERROR(+$C140*+VLOOKUP($B140,'%Analysis'!$A$4:$S$204,18,0)),"",+$C140*+VLOOKUP($B140,'%Analysis'!$A$4:$S$204,18,0))</f>
        <v>0</v>
      </c>
      <c r="Z140" s="37">
        <f>+'%Analysis'!A142</f>
        <v>0</v>
      </c>
    </row>
    <row r="141" spans="1:26" x14ac:dyDescent="0.2">
      <c r="A141" s="53"/>
      <c r="B141" s="19" t="str">
        <f t="shared" si="20"/>
        <v>EPK</v>
      </c>
      <c r="C141" s="40">
        <f t="shared" si="20"/>
        <v>10</v>
      </c>
      <c r="D141" s="40"/>
      <c r="H141" s="19">
        <f>IF(ISERROR(+$C141*+VLOOKUP($B141,'%Analysis'!$A$4:$S$204,4,0)),"",+$C141*+VLOOKUP($B141,'%Analysis'!$A$4:$S$204,4,0))</f>
        <v>3.3000000000000003</v>
      </c>
      <c r="I141" s="19">
        <f>IF(ISERROR(+$C141*+VLOOKUP($B141,'%Analysis'!$A$4:$S$204,5,0)),"",+$C141*+VLOOKUP($B141,'%Analysis'!$A$4:$S$204,5,0))</f>
        <v>0.6</v>
      </c>
      <c r="J141" s="19">
        <f>IF(ISERROR(+$C141*+VLOOKUP($B141,'%Analysis'!$A$4:$S$204,6,0)),"",+$C141*+VLOOKUP($B141,'%Analysis'!$A$4:$S$204,6,0))</f>
        <v>0</v>
      </c>
      <c r="K141" s="19">
        <f>IF(ISERROR(+$C141*+VLOOKUP($B141,'%Analysis'!$A$4:$S$204,7,0)),"",+$C141*+VLOOKUP($B141,'%Analysis'!$A$4:$S$204,7,0))</f>
        <v>1.7999999999999998</v>
      </c>
      <c r="L141" s="19">
        <f>IF(ISERROR(+$C141*+VLOOKUP($B141,'%Analysis'!$A$4:$S$204,8,0)),"",+$C141*+VLOOKUP($B141,'%Analysis'!$A$4:$S$204,8,0))</f>
        <v>0</v>
      </c>
      <c r="M141" s="19">
        <f>IF(ISERROR(+$C141*+VLOOKUP($B141,'%Analysis'!$A$4:$S$204,9,0)),"",+$C141*+VLOOKUP($B141,'%Analysis'!$A$4:$S$204,9,0))</f>
        <v>1</v>
      </c>
      <c r="N141" s="19">
        <f>IF(ISERROR(+$C141*+VLOOKUP($B141,'%Analysis'!$A$4:$S$204,10,0)),"",+$C141*+VLOOKUP($B141,'%Analysis'!$A$4:$S$204,10,0))</f>
        <v>0</v>
      </c>
      <c r="O141" s="19">
        <f>IF(ISERROR(+$C141*+VLOOKUP($B141,'%Analysis'!$A$4:$S$204,11,0)),"",+$C141*+VLOOKUP($B141,'%Analysis'!$A$4:$S$204,11,0))</f>
        <v>0</v>
      </c>
      <c r="P141" s="19">
        <f>IF(ISERROR(+$C141*+VLOOKUP($B141,'%Analysis'!$A$4:$S$204,12,0)),"",+$C141*+VLOOKUP($B141,'%Analysis'!$A$4:$S$204,12,0))</f>
        <v>373.6</v>
      </c>
      <c r="Q141" s="19">
        <f>IF(ISERROR(+$C141*+VLOOKUP($B141,'%Analysis'!$A$4:$S$204,13,0)),"",+$C141*+VLOOKUP($B141,'%Analysis'!$A$4:$S$204,13,0))</f>
        <v>7.9</v>
      </c>
      <c r="R141" s="19">
        <f>IF(ISERROR(+$C141*+VLOOKUP($B141,'%Analysis'!$A$4:$S$204,14,0)),"",+$C141*+VLOOKUP($B141,'%Analysis'!$A$4:$S$204,14,0))</f>
        <v>0</v>
      </c>
      <c r="S141" s="19">
        <f>IF(ISERROR(+$C141*+VLOOKUP($B141,'%Analysis'!$A$4:$S$204,15,0)),"",+$C141*+VLOOKUP($B141,'%Analysis'!$A$4:$S$204,15,0))</f>
        <v>457.29999999999995</v>
      </c>
      <c r="T141" s="19">
        <f>IF(ISERROR(+$C141*+VLOOKUP($B141,'%Analysis'!$A$4:$S$204,16,0)),"",+$C141*+VLOOKUP($B141,'%Analysis'!$A$4:$S$204,16,0))</f>
        <v>3.7</v>
      </c>
      <c r="U141" s="19">
        <f>IF(ISERROR(+$C141*+VLOOKUP($B141,'%Analysis'!$A$4:$S$204,17,0)),"",+$C141*+VLOOKUP($B141,'%Analysis'!$A$4:$S$204,17,0))</f>
        <v>117.99999999999999</v>
      </c>
      <c r="V141" s="19">
        <f>IF(ISERROR(+$C141*+VLOOKUP($B141,'%Analysis'!$A$4:$S$204,18,0)),"",+$C141*+VLOOKUP($B141,'%Analysis'!$A$4:$S$204,18,0))</f>
        <v>14</v>
      </c>
      <c r="Z141" s="37">
        <f>+'%Analysis'!A143</f>
        <v>0</v>
      </c>
    </row>
    <row r="142" spans="1:26" x14ac:dyDescent="0.2">
      <c r="A142" s="53"/>
      <c r="B142" s="19">
        <f t="shared" si="20"/>
        <v>0</v>
      </c>
      <c r="C142" s="40">
        <f t="shared" si="20"/>
        <v>0</v>
      </c>
      <c r="D142" s="40"/>
      <c r="H142" s="19" t="str">
        <f>IF(ISERROR(+$C142*+VLOOKUP($B142,'%Analysis'!$A$4:$S$204,4,0)),"",+$C142*+VLOOKUP($B142,'%Analysis'!$A$4:$S$204,4,0))</f>
        <v/>
      </c>
      <c r="I142" s="19" t="str">
        <f>IF(ISERROR(+$C142*+VLOOKUP($B142,'%Analysis'!$A$4:$S$204,5,0)),"",+$C142*+VLOOKUP($B142,'%Analysis'!$A$4:$S$204,5,0))</f>
        <v/>
      </c>
      <c r="J142" s="19" t="str">
        <f>IF(ISERROR(+$C142*+VLOOKUP($B142,'%Analysis'!$A$4:$S$204,6,0)),"",+$C142*+VLOOKUP($B142,'%Analysis'!$A$4:$S$204,6,0))</f>
        <v/>
      </c>
      <c r="K142" s="19" t="str">
        <f>IF(ISERROR(+$C142*+VLOOKUP($B142,'%Analysis'!$A$4:$S$204,7,0)),"",+$C142*+VLOOKUP($B142,'%Analysis'!$A$4:$S$204,7,0))</f>
        <v/>
      </c>
      <c r="L142" s="19" t="str">
        <f>IF(ISERROR(+$C142*+VLOOKUP($B142,'%Analysis'!$A$4:$S$204,8,0)),"",+$C142*+VLOOKUP($B142,'%Analysis'!$A$4:$S$204,8,0))</f>
        <v/>
      </c>
      <c r="M142" s="19" t="str">
        <f>IF(ISERROR(+$C142*+VLOOKUP($B142,'%Analysis'!$A$4:$S$204,9,0)),"",+$C142*+VLOOKUP($B142,'%Analysis'!$A$4:$S$204,9,0))</f>
        <v/>
      </c>
      <c r="N142" s="19" t="str">
        <f>IF(ISERROR(+$C142*+VLOOKUP($B142,'%Analysis'!$A$4:$S$204,10,0)),"",+$C142*+VLOOKUP($B142,'%Analysis'!$A$4:$S$204,10,0))</f>
        <v/>
      </c>
      <c r="O142" s="19" t="str">
        <f>IF(ISERROR(+$C142*+VLOOKUP($B142,'%Analysis'!$A$4:$S$204,11,0)),"",+$C142*+VLOOKUP($B142,'%Analysis'!$A$4:$S$204,11,0))</f>
        <v/>
      </c>
      <c r="P142" s="19" t="str">
        <f>IF(ISERROR(+$C142*+VLOOKUP($B142,'%Analysis'!$A$4:$S$204,12,0)),"",+$C142*+VLOOKUP($B142,'%Analysis'!$A$4:$S$204,12,0))</f>
        <v/>
      </c>
      <c r="Q142" s="19" t="str">
        <f>IF(ISERROR(+$C142*+VLOOKUP($B142,'%Analysis'!$A$4:$S$204,13,0)),"",+$C142*+VLOOKUP($B142,'%Analysis'!$A$4:$S$204,13,0))</f>
        <v/>
      </c>
      <c r="R142" s="19" t="str">
        <f>IF(ISERROR(+$C142*+VLOOKUP($B142,'%Analysis'!$A$4:$S$204,14,0)),"",+$C142*+VLOOKUP($B142,'%Analysis'!$A$4:$S$204,14,0))</f>
        <v/>
      </c>
      <c r="S142" s="19" t="str">
        <f>IF(ISERROR(+$C142*+VLOOKUP($B142,'%Analysis'!$A$4:$S$204,15,0)),"",+$C142*+VLOOKUP($B142,'%Analysis'!$A$4:$S$204,15,0))</f>
        <v/>
      </c>
      <c r="T142" s="19" t="str">
        <f>IF(ISERROR(+$C142*+VLOOKUP($B142,'%Analysis'!$A$4:$S$204,16,0)),"",+$C142*+VLOOKUP($B142,'%Analysis'!$A$4:$S$204,16,0))</f>
        <v/>
      </c>
      <c r="U142" s="19" t="str">
        <f>IF(ISERROR(+$C142*+VLOOKUP($B142,'%Analysis'!$A$4:$S$204,17,0)),"",+$C142*+VLOOKUP($B142,'%Analysis'!$A$4:$S$204,17,0))</f>
        <v/>
      </c>
      <c r="V142" s="19" t="str">
        <f>IF(ISERROR(+$C142*+VLOOKUP($B142,'%Analysis'!$A$4:$S$204,18,0)),"",+$C142*+VLOOKUP($B142,'%Analysis'!$A$4:$S$204,18,0))</f>
        <v/>
      </c>
      <c r="Z142" s="37">
        <f>+'%Analysis'!A144</f>
        <v>0</v>
      </c>
    </row>
    <row r="143" spans="1:26" x14ac:dyDescent="0.2">
      <c r="A143" s="53"/>
      <c r="B143" s="19" t="str">
        <f t="shared" si="20"/>
        <v>MgCarb</v>
      </c>
      <c r="C143" s="40">
        <f t="shared" si="20"/>
        <v>6</v>
      </c>
      <c r="D143" s="40"/>
      <c r="H143" s="19">
        <f>IF(ISERROR(+$C143*+VLOOKUP($B143,'%Analysis'!$A$4:$S$204,4,0)),"",+$C143*+VLOOKUP($B143,'%Analysis'!$A$4:$S$204,4,0))</f>
        <v>0</v>
      </c>
      <c r="I143" s="19">
        <f>IF(ISERROR(+$C143*+VLOOKUP($B143,'%Analysis'!$A$4:$S$204,5,0)),"",+$C143*+VLOOKUP($B143,'%Analysis'!$A$4:$S$204,5,0))</f>
        <v>0</v>
      </c>
      <c r="J143" s="19">
        <f>IF(ISERROR(+$C143*+VLOOKUP($B143,'%Analysis'!$A$4:$S$204,6,0)),"",+$C143*+VLOOKUP($B143,'%Analysis'!$A$4:$S$204,6,0))</f>
        <v>0</v>
      </c>
      <c r="K143" s="19">
        <f>IF(ISERROR(+$C143*+VLOOKUP($B143,'%Analysis'!$A$4:$S$204,7,0)),"",+$C143*+VLOOKUP($B143,'%Analysis'!$A$4:$S$204,7,0))</f>
        <v>0</v>
      </c>
      <c r="L143" s="19">
        <f>IF(ISERROR(+$C143*+VLOOKUP($B143,'%Analysis'!$A$4:$S$204,8,0)),"",+$C143*+VLOOKUP($B143,'%Analysis'!$A$4:$S$204,8,0))</f>
        <v>0</v>
      </c>
      <c r="M143" s="19">
        <f>IF(ISERROR(+$C143*+VLOOKUP($B143,'%Analysis'!$A$4:$S$204,9,0)),"",+$C143*+VLOOKUP($B143,'%Analysis'!$A$4:$S$204,9,0))</f>
        <v>258.54000000000002</v>
      </c>
      <c r="N143" s="19">
        <f>IF(ISERROR(+$C143*+VLOOKUP($B143,'%Analysis'!$A$4:$S$204,10,0)),"",+$C143*+VLOOKUP($B143,'%Analysis'!$A$4:$S$204,10,0))</f>
        <v>0</v>
      </c>
      <c r="O143" s="19">
        <f>IF(ISERROR(+$C143*+VLOOKUP($B143,'%Analysis'!$A$4:$S$204,11,0)),"",+$C143*+VLOOKUP($B143,'%Analysis'!$A$4:$S$204,11,0))</f>
        <v>0</v>
      </c>
      <c r="P143" s="19">
        <f>IF(ISERROR(+$C143*+VLOOKUP($B143,'%Analysis'!$A$4:$S$204,12,0)),"",+$C143*+VLOOKUP($B143,'%Analysis'!$A$4:$S$204,12,0))</f>
        <v>0</v>
      </c>
      <c r="Q143" s="19">
        <f>IF(ISERROR(+$C143*+VLOOKUP($B143,'%Analysis'!$A$4:$S$204,13,0)),"",+$C143*+VLOOKUP($B143,'%Analysis'!$A$4:$S$204,13,0))</f>
        <v>0</v>
      </c>
      <c r="R143" s="19">
        <f>IF(ISERROR(+$C143*+VLOOKUP($B143,'%Analysis'!$A$4:$S$204,14,0)),"",+$C143*+VLOOKUP($B143,'%Analysis'!$A$4:$S$204,14,0))</f>
        <v>0</v>
      </c>
      <c r="S143" s="19">
        <f>IF(ISERROR(+$C143*+VLOOKUP($B143,'%Analysis'!$A$4:$S$204,15,0)),"",+$C143*+VLOOKUP($B143,'%Analysis'!$A$4:$S$204,15,0))</f>
        <v>0</v>
      </c>
      <c r="T143" s="19">
        <f>IF(ISERROR(+$C143*+VLOOKUP($B143,'%Analysis'!$A$4:$S$204,16,0)),"",+$C143*+VLOOKUP($B143,'%Analysis'!$A$4:$S$204,16,0))</f>
        <v>0</v>
      </c>
      <c r="U143" s="19">
        <f>IF(ISERROR(+$C143*+VLOOKUP($B143,'%Analysis'!$A$4:$S$204,17,0)),"",+$C143*+VLOOKUP($B143,'%Analysis'!$A$4:$S$204,17,0))</f>
        <v>225.84</v>
      </c>
      <c r="V143" s="19">
        <f>IF(ISERROR(+$C143*+VLOOKUP($B143,'%Analysis'!$A$4:$S$204,18,0)),"",+$C143*+VLOOKUP($B143,'%Analysis'!$A$4:$S$204,18,0))</f>
        <v>115.56</v>
      </c>
      <c r="Z143" s="37">
        <f>+'%Analysis'!A145</f>
        <v>0</v>
      </c>
    </row>
    <row r="144" spans="1:26" x14ac:dyDescent="0.2">
      <c r="A144" s="53"/>
      <c r="B144" s="19">
        <f t="shared" si="20"/>
        <v>0</v>
      </c>
      <c r="C144" s="40">
        <f t="shared" si="20"/>
        <v>0</v>
      </c>
      <c r="D144" s="40"/>
      <c r="H144" s="19" t="str">
        <f>IF(ISERROR(+$C144*+VLOOKUP($B144,'%Analysis'!$A$4:$S$204,4,0)),"",+$C144*+VLOOKUP($B144,'%Analysis'!$A$4:$S$204,4,0))</f>
        <v/>
      </c>
      <c r="I144" s="19" t="str">
        <f>IF(ISERROR(+$C144*+VLOOKUP($B144,'%Analysis'!$A$4:$S$204,5,0)),"",+$C144*+VLOOKUP($B144,'%Analysis'!$A$4:$S$204,5,0))</f>
        <v/>
      </c>
      <c r="J144" s="19" t="str">
        <f>IF(ISERROR(+$C144*+VLOOKUP($B144,'%Analysis'!$A$4:$S$204,6,0)),"",+$C144*+VLOOKUP($B144,'%Analysis'!$A$4:$S$204,6,0))</f>
        <v/>
      </c>
      <c r="K144" s="19" t="str">
        <f>IF(ISERROR(+$C144*+VLOOKUP($B144,'%Analysis'!$A$4:$S$204,7,0)),"",+$C144*+VLOOKUP($B144,'%Analysis'!$A$4:$S$204,7,0))</f>
        <v/>
      </c>
      <c r="L144" s="19" t="str">
        <f>IF(ISERROR(+$C144*+VLOOKUP($B144,'%Analysis'!$A$4:$S$204,8,0)),"",+$C144*+VLOOKUP($B144,'%Analysis'!$A$4:$S$204,8,0))</f>
        <v/>
      </c>
      <c r="M144" s="19" t="str">
        <f>IF(ISERROR(+$C144*+VLOOKUP($B144,'%Analysis'!$A$4:$S$204,9,0)),"",+$C144*+VLOOKUP($B144,'%Analysis'!$A$4:$S$204,9,0))</f>
        <v/>
      </c>
      <c r="N144" s="19" t="str">
        <f>IF(ISERROR(+$C144*+VLOOKUP($B144,'%Analysis'!$A$4:$S$204,10,0)),"",+$C144*+VLOOKUP($B144,'%Analysis'!$A$4:$S$204,10,0))</f>
        <v/>
      </c>
      <c r="O144" s="19" t="str">
        <f>IF(ISERROR(+$C144*+VLOOKUP($B144,'%Analysis'!$A$4:$S$204,11,0)),"",+$C144*+VLOOKUP($B144,'%Analysis'!$A$4:$S$204,11,0))</f>
        <v/>
      </c>
      <c r="P144" s="19" t="str">
        <f>IF(ISERROR(+$C144*+VLOOKUP($B144,'%Analysis'!$A$4:$S$204,12,0)),"",+$C144*+VLOOKUP($B144,'%Analysis'!$A$4:$S$204,12,0))</f>
        <v/>
      </c>
      <c r="Q144" s="19" t="str">
        <f>IF(ISERROR(+$C144*+VLOOKUP($B144,'%Analysis'!$A$4:$S$204,13,0)),"",+$C144*+VLOOKUP($B144,'%Analysis'!$A$4:$S$204,13,0))</f>
        <v/>
      </c>
      <c r="R144" s="19" t="str">
        <f>IF(ISERROR(+$C144*+VLOOKUP($B144,'%Analysis'!$A$4:$S$204,14,0)),"",+$C144*+VLOOKUP($B144,'%Analysis'!$A$4:$S$204,14,0))</f>
        <v/>
      </c>
      <c r="S144" s="19" t="str">
        <f>IF(ISERROR(+$C144*+VLOOKUP($B144,'%Analysis'!$A$4:$S$204,15,0)),"",+$C144*+VLOOKUP($B144,'%Analysis'!$A$4:$S$204,15,0))</f>
        <v/>
      </c>
      <c r="T144" s="19" t="str">
        <f>IF(ISERROR(+$C144*+VLOOKUP($B144,'%Analysis'!$A$4:$S$204,16,0)),"",+$C144*+VLOOKUP($B144,'%Analysis'!$A$4:$S$204,16,0))</f>
        <v/>
      </c>
      <c r="U144" s="19" t="str">
        <f>IF(ISERROR(+$C144*+VLOOKUP($B144,'%Analysis'!$A$4:$S$204,17,0)),"",+$C144*+VLOOKUP($B144,'%Analysis'!$A$4:$S$204,17,0))</f>
        <v/>
      </c>
      <c r="V144" s="19" t="str">
        <f>IF(ISERROR(+$C144*+VLOOKUP($B144,'%Analysis'!$A$4:$S$204,18,0)),"",+$C144*+VLOOKUP($B144,'%Analysis'!$A$4:$S$204,18,0))</f>
        <v/>
      </c>
      <c r="Z144" s="37">
        <f>+'%Analysis'!A146</f>
        <v>0</v>
      </c>
    </row>
    <row r="145" spans="1:26" x14ac:dyDescent="0.2">
      <c r="A145" s="53"/>
      <c r="B145" s="19">
        <f t="shared" si="20"/>
        <v>0</v>
      </c>
      <c r="C145" s="40">
        <f t="shared" si="20"/>
        <v>0</v>
      </c>
      <c r="D145" s="40"/>
      <c r="H145" s="19" t="str">
        <f>IF(ISERROR(+$C145*+VLOOKUP($B145,'%Analysis'!$A$4:$S$204,4,0)),"",+$C145*+VLOOKUP($B145,'%Analysis'!$A$4:$S$204,4,0))</f>
        <v/>
      </c>
      <c r="I145" s="19" t="str">
        <f>IF(ISERROR(+$C145*+VLOOKUP($B145,'%Analysis'!$A$4:$S$204,5,0)),"",+$C145*+VLOOKUP($B145,'%Analysis'!$A$4:$S$204,5,0))</f>
        <v/>
      </c>
      <c r="J145" s="19" t="str">
        <f>IF(ISERROR(+$C145*+VLOOKUP($B145,'%Analysis'!$A$4:$S$204,6,0)),"",+$C145*+VLOOKUP($B145,'%Analysis'!$A$4:$S$204,6,0))</f>
        <v/>
      </c>
      <c r="K145" s="19" t="str">
        <f>IF(ISERROR(+$C145*+VLOOKUP($B145,'%Analysis'!$A$4:$S$204,7,0)),"",+$C145*+VLOOKUP($B145,'%Analysis'!$A$4:$S$204,7,0))</f>
        <v/>
      </c>
      <c r="L145" s="19" t="str">
        <f>IF(ISERROR(+$C145*+VLOOKUP($B145,'%Analysis'!$A$4:$S$204,8,0)),"",+$C145*+VLOOKUP($B145,'%Analysis'!$A$4:$S$204,8,0))</f>
        <v/>
      </c>
      <c r="M145" s="19" t="str">
        <f>IF(ISERROR(+$C145*+VLOOKUP($B145,'%Analysis'!$A$4:$S$204,9,0)),"",+$C145*+VLOOKUP($B145,'%Analysis'!$A$4:$S$204,9,0))</f>
        <v/>
      </c>
      <c r="N145" s="19" t="str">
        <f>IF(ISERROR(+$C145*+VLOOKUP($B145,'%Analysis'!$A$4:$S$204,10,0)),"",+$C145*+VLOOKUP($B145,'%Analysis'!$A$4:$S$204,10,0))</f>
        <v/>
      </c>
      <c r="O145" s="19" t="str">
        <f>IF(ISERROR(+$C145*+VLOOKUP($B145,'%Analysis'!$A$4:$S$204,11,0)),"",+$C145*+VLOOKUP($B145,'%Analysis'!$A$4:$S$204,11,0))</f>
        <v/>
      </c>
      <c r="P145" s="19" t="str">
        <f>IF(ISERROR(+$C145*+VLOOKUP($B145,'%Analysis'!$A$4:$S$204,12,0)),"",+$C145*+VLOOKUP($B145,'%Analysis'!$A$4:$S$204,12,0))</f>
        <v/>
      </c>
      <c r="Q145" s="19" t="str">
        <f>IF(ISERROR(+$C145*+VLOOKUP($B145,'%Analysis'!$A$4:$S$204,13,0)),"",+$C145*+VLOOKUP($B145,'%Analysis'!$A$4:$S$204,13,0))</f>
        <v/>
      </c>
      <c r="R145" s="19" t="str">
        <f>IF(ISERROR(+$C145*+VLOOKUP($B145,'%Analysis'!$A$4:$S$204,14,0)),"",+$C145*+VLOOKUP($B145,'%Analysis'!$A$4:$S$204,14,0))</f>
        <v/>
      </c>
      <c r="S145" s="19" t="str">
        <f>IF(ISERROR(+$C145*+VLOOKUP($B145,'%Analysis'!$A$4:$S$204,15,0)),"",+$C145*+VLOOKUP($B145,'%Analysis'!$A$4:$S$204,15,0))</f>
        <v/>
      </c>
      <c r="T145" s="19" t="str">
        <f>IF(ISERROR(+$C145*+VLOOKUP($B145,'%Analysis'!$A$4:$S$204,16,0)),"",+$C145*+VLOOKUP($B145,'%Analysis'!$A$4:$S$204,16,0))</f>
        <v/>
      </c>
      <c r="U145" s="19" t="str">
        <f>IF(ISERROR(+$C145*+VLOOKUP($B145,'%Analysis'!$A$4:$S$204,17,0)),"",+$C145*+VLOOKUP($B145,'%Analysis'!$A$4:$S$204,17,0))</f>
        <v/>
      </c>
      <c r="V145" s="19" t="str">
        <f>IF(ISERROR(+$C145*+VLOOKUP($B145,'%Analysis'!$A$4:$S$204,18,0)),"",+$C145*+VLOOKUP($B145,'%Analysis'!$A$4:$S$204,18,0))</f>
        <v/>
      </c>
      <c r="Z145" s="37">
        <f>+'%Analysis'!A147</f>
        <v>0</v>
      </c>
    </row>
    <row r="146" spans="1:26" x14ac:dyDescent="0.2">
      <c r="A146" s="53"/>
      <c r="B146" s="19">
        <f t="shared" si="20"/>
        <v>0</v>
      </c>
      <c r="C146" s="40">
        <f t="shared" si="20"/>
        <v>0</v>
      </c>
      <c r="D146" s="40"/>
      <c r="H146" s="19" t="str">
        <f>IF(ISERROR(+$C146*+VLOOKUP($B146,'%Analysis'!$A$4:$S$204,4,0)),"",+$C146*+VLOOKUP($B146,'%Analysis'!$A$4:$S$204,4,0))</f>
        <v/>
      </c>
      <c r="I146" s="19" t="str">
        <f>IF(ISERROR(+$C146*+VLOOKUP($B146,'%Analysis'!$A$4:$S$204,5,0)),"",+$C146*+VLOOKUP($B146,'%Analysis'!$A$4:$S$204,5,0))</f>
        <v/>
      </c>
      <c r="J146" s="19" t="str">
        <f>IF(ISERROR(+$C146*+VLOOKUP($B146,'%Analysis'!$A$4:$S$204,6,0)),"",+$C146*+VLOOKUP($B146,'%Analysis'!$A$4:$S$204,6,0))</f>
        <v/>
      </c>
      <c r="K146" s="19" t="str">
        <f>IF(ISERROR(+$C146*+VLOOKUP($B146,'%Analysis'!$A$4:$S$204,7,0)),"",+$C146*+VLOOKUP($B146,'%Analysis'!$A$4:$S$204,7,0))</f>
        <v/>
      </c>
      <c r="L146" s="19" t="str">
        <f>IF(ISERROR(+$C146*+VLOOKUP($B146,'%Analysis'!$A$4:$S$204,8,0)),"",+$C146*+VLOOKUP($B146,'%Analysis'!$A$4:$S$204,8,0))</f>
        <v/>
      </c>
      <c r="M146" s="19" t="str">
        <f>IF(ISERROR(+$C146*+VLOOKUP($B146,'%Analysis'!$A$4:$S$204,9,0)),"",+$C146*+VLOOKUP($B146,'%Analysis'!$A$4:$S$204,9,0))</f>
        <v/>
      </c>
      <c r="N146" s="19" t="str">
        <f>IF(ISERROR(+$C146*+VLOOKUP($B146,'%Analysis'!$A$4:$S$204,10,0)),"",+$C146*+VLOOKUP($B146,'%Analysis'!$A$4:$S$204,10,0))</f>
        <v/>
      </c>
      <c r="O146" s="19" t="str">
        <f>IF(ISERROR(+$C146*+VLOOKUP($B146,'%Analysis'!$A$4:$S$204,11,0)),"",+$C146*+VLOOKUP($B146,'%Analysis'!$A$4:$S$204,11,0))</f>
        <v/>
      </c>
      <c r="P146" s="19" t="str">
        <f>IF(ISERROR(+$C146*+VLOOKUP($B146,'%Analysis'!$A$4:$S$204,12,0)),"",+$C146*+VLOOKUP($B146,'%Analysis'!$A$4:$S$204,12,0))</f>
        <v/>
      </c>
      <c r="Q146" s="19" t="str">
        <f>IF(ISERROR(+$C146*+VLOOKUP($B146,'%Analysis'!$A$4:$S$204,13,0)),"",+$C146*+VLOOKUP($B146,'%Analysis'!$A$4:$S$204,13,0))</f>
        <v/>
      </c>
      <c r="R146" s="19" t="str">
        <f>IF(ISERROR(+$C146*+VLOOKUP($B146,'%Analysis'!$A$4:$S$204,14,0)),"",+$C146*+VLOOKUP($B146,'%Analysis'!$A$4:$S$204,14,0))</f>
        <v/>
      </c>
      <c r="S146" s="19" t="str">
        <f>IF(ISERROR(+$C146*+VLOOKUP($B146,'%Analysis'!$A$4:$S$204,15,0)),"",+$C146*+VLOOKUP($B146,'%Analysis'!$A$4:$S$204,15,0))</f>
        <v/>
      </c>
      <c r="T146" s="19" t="str">
        <f>IF(ISERROR(+$C146*+VLOOKUP($B146,'%Analysis'!$A$4:$S$204,16,0)),"",+$C146*+VLOOKUP($B146,'%Analysis'!$A$4:$S$204,16,0))</f>
        <v/>
      </c>
      <c r="U146" s="19" t="str">
        <f>IF(ISERROR(+$C146*+VLOOKUP($B146,'%Analysis'!$A$4:$S$204,17,0)),"",+$C146*+VLOOKUP($B146,'%Analysis'!$A$4:$S$204,17,0))</f>
        <v/>
      </c>
      <c r="V146" s="19" t="str">
        <f>IF(ISERROR(+$C146*+VLOOKUP($B146,'%Analysis'!$A$4:$S$204,18,0)),"",+$C146*+VLOOKUP($B146,'%Analysis'!$A$4:$S$204,18,0))</f>
        <v/>
      </c>
      <c r="Z146" s="37">
        <f>+'%Analysis'!A148</f>
        <v>0</v>
      </c>
    </row>
    <row r="147" spans="1:26" x14ac:dyDescent="0.2">
      <c r="A147" s="53"/>
      <c r="B147" s="19">
        <f t="shared" si="20"/>
        <v>0</v>
      </c>
      <c r="C147" s="40">
        <f t="shared" si="20"/>
        <v>0</v>
      </c>
      <c r="D147" s="40"/>
      <c r="H147" s="19" t="str">
        <f>IF(ISERROR(+$C147*+VLOOKUP($B147,'%Analysis'!$A$4:$S$204,4,0)),"",+$C147*+VLOOKUP($B147,'%Analysis'!$A$4:$S$204,4,0))</f>
        <v/>
      </c>
      <c r="I147" s="19" t="str">
        <f>IF(ISERROR(+$C147*+VLOOKUP($B147,'%Analysis'!$A$4:$S$204,5,0)),"",+$C147*+VLOOKUP($B147,'%Analysis'!$A$4:$S$204,5,0))</f>
        <v/>
      </c>
      <c r="J147" s="19" t="str">
        <f>IF(ISERROR(+$C147*+VLOOKUP($B147,'%Analysis'!$A$4:$S$204,6,0)),"",+$C147*+VLOOKUP($B147,'%Analysis'!$A$4:$S$204,6,0))</f>
        <v/>
      </c>
      <c r="K147" s="19" t="str">
        <f>IF(ISERROR(+$C147*+VLOOKUP($B147,'%Analysis'!$A$4:$S$204,7,0)),"",+$C147*+VLOOKUP($B147,'%Analysis'!$A$4:$S$204,7,0))</f>
        <v/>
      </c>
      <c r="L147" s="19" t="str">
        <f>IF(ISERROR(+$C147*+VLOOKUP($B147,'%Analysis'!$A$4:$S$204,8,0)),"",+$C147*+VLOOKUP($B147,'%Analysis'!$A$4:$S$204,8,0))</f>
        <v/>
      </c>
      <c r="M147" s="19" t="str">
        <f>IF(ISERROR(+$C147*+VLOOKUP($B147,'%Analysis'!$A$4:$S$204,9,0)),"",+$C147*+VLOOKUP($B147,'%Analysis'!$A$4:$S$204,9,0))</f>
        <v/>
      </c>
      <c r="N147" s="19" t="str">
        <f>IF(ISERROR(+$C147*+VLOOKUP($B147,'%Analysis'!$A$4:$S$204,10,0)),"",+$C147*+VLOOKUP($B147,'%Analysis'!$A$4:$S$204,10,0))</f>
        <v/>
      </c>
      <c r="O147" s="19" t="str">
        <f>IF(ISERROR(+$C147*+VLOOKUP($B147,'%Analysis'!$A$4:$S$204,11,0)),"",+$C147*+VLOOKUP($B147,'%Analysis'!$A$4:$S$204,11,0))</f>
        <v/>
      </c>
      <c r="P147" s="19" t="str">
        <f>IF(ISERROR(+$C147*+VLOOKUP($B147,'%Analysis'!$A$4:$S$204,12,0)),"",+$C147*+VLOOKUP($B147,'%Analysis'!$A$4:$S$204,12,0))</f>
        <v/>
      </c>
      <c r="Q147" s="19" t="str">
        <f>IF(ISERROR(+$C147*+VLOOKUP($B147,'%Analysis'!$A$4:$S$204,13,0)),"",+$C147*+VLOOKUP($B147,'%Analysis'!$A$4:$S$204,13,0))</f>
        <v/>
      </c>
      <c r="R147" s="19" t="str">
        <f>IF(ISERROR(+$C147*+VLOOKUP($B147,'%Analysis'!$A$4:$S$204,14,0)),"",+$C147*+VLOOKUP($B147,'%Analysis'!$A$4:$S$204,14,0))</f>
        <v/>
      </c>
      <c r="S147" s="19" t="str">
        <f>IF(ISERROR(+$C147*+VLOOKUP($B147,'%Analysis'!$A$4:$S$204,15,0)),"",+$C147*+VLOOKUP($B147,'%Analysis'!$A$4:$S$204,15,0))</f>
        <v/>
      </c>
      <c r="T147" s="19" t="str">
        <f>IF(ISERROR(+$C147*+VLOOKUP($B147,'%Analysis'!$A$4:$S$204,16,0)),"",+$C147*+VLOOKUP($B147,'%Analysis'!$A$4:$S$204,16,0))</f>
        <v/>
      </c>
      <c r="U147" s="19" t="str">
        <f>IF(ISERROR(+$C147*+VLOOKUP($B147,'%Analysis'!$A$4:$S$204,17,0)),"",+$C147*+VLOOKUP($B147,'%Analysis'!$A$4:$S$204,17,0))</f>
        <v/>
      </c>
      <c r="V147" s="19" t="str">
        <f>IF(ISERROR(+$C147*+VLOOKUP($B147,'%Analysis'!$A$4:$S$204,18,0)),"",+$C147*+VLOOKUP($B147,'%Analysis'!$A$4:$S$204,18,0))</f>
        <v/>
      </c>
      <c r="Z147" s="37">
        <f>+'%Analysis'!A149</f>
        <v>0</v>
      </c>
    </row>
    <row r="148" spans="1:26" x14ac:dyDescent="0.2">
      <c r="A148" s="53"/>
      <c r="B148" s="19">
        <f t="shared" si="20"/>
        <v>0</v>
      </c>
      <c r="C148" s="40">
        <f t="shared" si="20"/>
        <v>106</v>
      </c>
      <c r="D148" s="40"/>
      <c r="H148" s="19" t="str">
        <f>IF(ISERROR(+$C148*+VLOOKUP($B148,'%Analysis'!$A$4:$S$204,4,0)),"",+$C148*+VLOOKUP($B148,'%Analysis'!$A$4:$S$204,4,0))</f>
        <v/>
      </c>
      <c r="I148" s="19" t="str">
        <f>IF(ISERROR(+$C148*+VLOOKUP($B148,'%Analysis'!$A$4:$S$204,5,0)),"",+$C148*+VLOOKUP($B148,'%Analysis'!$A$4:$S$204,5,0))</f>
        <v/>
      </c>
      <c r="J148" s="19" t="str">
        <f>IF(ISERROR(+$C148*+VLOOKUP($B148,'%Analysis'!$A$4:$S$204,6,0)),"",+$C148*+VLOOKUP($B148,'%Analysis'!$A$4:$S$204,6,0))</f>
        <v/>
      </c>
      <c r="K148" s="19" t="str">
        <f>IF(ISERROR(+$C148*+VLOOKUP($B148,'%Analysis'!$A$4:$S$204,7,0)),"",+$C148*+VLOOKUP($B148,'%Analysis'!$A$4:$S$204,7,0))</f>
        <v/>
      </c>
      <c r="L148" s="19" t="str">
        <f>IF(ISERROR(+$C148*+VLOOKUP($B148,'%Analysis'!$A$4:$S$204,8,0)),"",+$C148*+VLOOKUP($B148,'%Analysis'!$A$4:$S$204,8,0))</f>
        <v/>
      </c>
      <c r="M148" s="19" t="str">
        <f>IF(ISERROR(+$C148*+VLOOKUP($B148,'%Analysis'!$A$4:$S$204,9,0)),"",+$C148*+VLOOKUP($B148,'%Analysis'!$A$4:$S$204,9,0))</f>
        <v/>
      </c>
      <c r="N148" s="19" t="str">
        <f>IF(ISERROR(+$C148*+VLOOKUP($B148,'%Analysis'!$A$4:$S$204,10,0)),"",+$C148*+VLOOKUP($B148,'%Analysis'!$A$4:$S$204,10,0))</f>
        <v/>
      </c>
      <c r="O148" s="19" t="str">
        <f>IF(ISERROR(+$C148*+VLOOKUP($B148,'%Analysis'!$A$4:$S$204,11,0)),"",+$C148*+VLOOKUP($B148,'%Analysis'!$A$4:$S$204,11,0))</f>
        <v/>
      </c>
      <c r="P148" s="19" t="str">
        <f>IF(ISERROR(+$C148*+VLOOKUP($B148,'%Analysis'!$A$4:$S$204,12,0)),"",+$C148*+VLOOKUP($B148,'%Analysis'!$A$4:$S$204,12,0))</f>
        <v/>
      </c>
      <c r="Q148" s="19" t="str">
        <f>IF(ISERROR(+$C148*+VLOOKUP($B148,'%Analysis'!$A$4:$S$204,13,0)),"",+$C148*+VLOOKUP($B148,'%Analysis'!$A$4:$S$204,13,0))</f>
        <v/>
      </c>
      <c r="R148" s="19" t="str">
        <f>IF(ISERROR(+$C148*+VLOOKUP($B148,'%Analysis'!$A$4:$S$204,14,0)),"",+$C148*+VLOOKUP($B148,'%Analysis'!$A$4:$S$204,14,0))</f>
        <v/>
      </c>
      <c r="S148" s="19" t="str">
        <f>IF(ISERROR(+$C148*+VLOOKUP($B148,'%Analysis'!$A$4:$S$204,15,0)),"",+$C148*+VLOOKUP($B148,'%Analysis'!$A$4:$S$204,15,0))</f>
        <v/>
      </c>
      <c r="T148" s="19" t="str">
        <f>IF(ISERROR(+$C148*+VLOOKUP($B148,'%Analysis'!$A$4:$S$204,16,0)),"",+$C148*+VLOOKUP($B148,'%Analysis'!$A$4:$S$204,16,0))</f>
        <v/>
      </c>
      <c r="U148" s="19" t="str">
        <f>IF(ISERROR(+$C148*+VLOOKUP($B148,'%Analysis'!$A$4:$S$204,17,0)),"",+$C148*+VLOOKUP($B148,'%Analysis'!$A$4:$S$204,17,0))</f>
        <v/>
      </c>
      <c r="V148" s="19" t="str">
        <f>IF(ISERROR(+$C148*+VLOOKUP($B148,'%Analysis'!$A$4:$S$204,18,0)),"",+$C148*+VLOOKUP($B148,'%Analysis'!$A$4:$S$204,18,0))</f>
        <v/>
      </c>
      <c r="Z148" s="37">
        <f>+'%Analysis'!A150</f>
        <v>0</v>
      </c>
    </row>
    <row r="149" spans="1:26" x14ac:dyDescent="0.2">
      <c r="A149" s="53"/>
      <c r="B149" s="19"/>
      <c r="C149" s="40"/>
      <c r="D149" s="40"/>
      <c r="H149" s="19" t="str">
        <f>IF(ISERROR(+$C149*+VLOOKUP($B149,'%Analysis'!$A$4:$S$204,4,0)),"",+$C149*+VLOOKUP($B149,'%Analysis'!$A$4:$S$204,4,0))</f>
        <v/>
      </c>
      <c r="I149" s="19" t="str">
        <f>IF(ISERROR(+$C149*+VLOOKUP($B149,'%Analysis'!$A$4:$S$204,5,0)),"",+$C149*+VLOOKUP($B149,'%Analysis'!$A$4:$S$204,5,0))</f>
        <v/>
      </c>
      <c r="J149" s="19" t="str">
        <f>IF(ISERROR(+$C149*+VLOOKUP($B149,'%Analysis'!$A$4:$S$204,6,0)),"",+$C149*+VLOOKUP($B149,'%Analysis'!$A$4:$S$204,6,0))</f>
        <v/>
      </c>
      <c r="K149" s="19" t="str">
        <f>IF(ISERROR(+$C149*+VLOOKUP($B149,'%Analysis'!$A$4:$S$204,7,0)),"",+$C149*+VLOOKUP($B149,'%Analysis'!$A$4:$S$204,7,0))</f>
        <v/>
      </c>
      <c r="L149" s="19" t="str">
        <f>IF(ISERROR(+$C149*+VLOOKUP($B149,'%Analysis'!$A$4:$S$204,8,0)),"",+$C149*+VLOOKUP($B149,'%Analysis'!$A$4:$S$204,8,0))</f>
        <v/>
      </c>
      <c r="M149" s="19" t="str">
        <f>IF(ISERROR(+$C149*+VLOOKUP($B149,'%Analysis'!$A$4:$S$204,9,0)),"",+$C149*+VLOOKUP($B149,'%Analysis'!$A$4:$S$204,9,0))</f>
        <v/>
      </c>
      <c r="N149" s="19" t="str">
        <f>IF(ISERROR(+$C149*+VLOOKUP($B149,'%Analysis'!$A$4:$S$204,10,0)),"",+$C149*+VLOOKUP($B149,'%Analysis'!$A$4:$S$204,10,0))</f>
        <v/>
      </c>
      <c r="O149" s="19" t="str">
        <f>IF(ISERROR(+$C149*+VLOOKUP($B149,'%Analysis'!$A$4:$S$204,11,0)),"",+$C149*+VLOOKUP($B149,'%Analysis'!$A$4:$S$204,11,0))</f>
        <v/>
      </c>
      <c r="P149" s="19" t="str">
        <f>IF(ISERROR(+$C149*+VLOOKUP($B149,'%Analysis'!$A$4:$S$204,12,0)),"",+$C149*+VLOOKUP($B149,'%Analysis'!$A$4:$S$204,12,0))</f>
        <v/>
      </c>
      <c r="Q149" s="19" t="str">
        <f>IF(ISERROR(+$C149*+VLOOKUP($B149,'%Analysis'!$A$4:$S$204,13,0)),"",+$C149*+VLOOKUP($B149,'%Analysis'!$A$4:$S$204,13,0))</f>
        <v/>
      </c>
      <c r="R149" s="19" t="str">
        <f>IF(ISERROR(+$C149*+VLOOKUP($B149,'%Analysis'!$A$4:$S$204,14,0)),"",+$C149*+VLOOKUP($B149,'%Analysis'!$A$4:$S$204,14,0))</f>
        <v/>
      </c>
      <c r="S149" s="19" t="str">
        <f>IF(ISERROR(+$C149*+VLOOKUP($B149,'%Analysis'!$A$4:$S$204,15,0)),"",+$C149*+VLOOKUP($B149,'%Analysis'!$A$4:$S$204,15,0))</f>
        <v/>
      </c>
      <c r="T149" s="19" t="str">
        <f>IF(ISERROR(+$C149*+VLOOKUP($B149,'%Analysis'!$A$4:$S$204,16,0)),"",+$C149*+VLOOKUP($B149,'%Analysis'!$A$4:$S$204,16,0))</f>
        <v/>
      </c>
      <c r="U149" s="19" t="str">
        <f>IF(ISERROR(+$C149*+VLOOKUP($B149,'%Analysis'!$A$4:$S$204,17,0)),"",+$C149*+VLOOKUP($B149,'%Analysis'!$A$4:$S$204,17,0))</f>
        <v/>
      </c>
      <c r="V149" s="19" t="str">
        <f>IF(ISERROR(+$C149*+VLOOKUP($B149,'%Analysis'!$A$4:$S$204,18,0)),"",+$C149*+VLOOKUP($B149,'%Analysis'!$A$4:$S$204,18,0))</f>
        <v/>
      </c>
      <c r="Z149" s="37">
        <f>+'%Analysis'!A151</f>
        <v>0</v>
      </c>
    </row>
    <row r="150" spans="1:26" x14ac:dyDescent="0.2">
      <c r="A150" s="53"/>
      <c r="B150" s="19"/>
      <c r="C150" s="40"/>
      <c r="D150" s="40"/>
      <c r="H150" s="19" t="str">
        <f>IF(ISERROR(+$C150*+VLOOKUP($B150,'%Analysis'!$A$4:$S$204,4,0)),"",+$C150*+VLOOKUP($B150,'%Analysis'!$A$4:$S$204,4,0))</f>
        <v/>
      </c>
      <c r="I150" s="19" t="str">
        <f>IF(ISERROR(+$C150*+VLOOKUP($B150,'%Analysis'!$A$4:$S$204,5,0)),"",+$C150*+VLOOKUP($B150,'%Analysis'!$A$4:$S$204,5,0))</f>
        <v/>
      </c>
      <c r="J150" s="19" t="str">
        <f>IF(ISERROR(+$C150*+VLOOKUP($B150,'%Analysis'!$A$4:$S$204,6,0)),"",+$C150*+VLOOKUP($B150,'%Analysis'!$A$4:$S$204,6,0))</f>
        <v/>
      </c>
      <c r="K150" s="19" t="str">
        <f>IF(ISERROR(+$C150*+VLOOKUP($B150,'%Analysis'!$A$4:$S$204,7,0)),"",+$C150*+VLOOKUP($B150,'%Analysis'!$A$4:$S$204,7,0))</f>
        <v/>
      </c>
      <c r="L150" s="19" t="str">
        <f>IF(ISERROR(+$C150*+VLOOKUP($B150,'%Analysis'!$A$4:$S$204,8,0)),"",+$C150*+VLOOKUP($B150,'%Analysis'!$A$4:$S$204,8,0))</f>
        <v/>
      </c>
      <c r="M150" s="19" t="str">
        <f>IF(ISERROR(+$C150*+VLOOKUP($B150,'%Analysis'!$A$4:$S$204,9,0)),"",+$C150*+VLOOKUP($B150,'%Analysis'!$A$4:$S$204,9,0))</f>
        <v/>
      </c>
      <c r="N150" s="19" t="str">
        <f>IF(ISERROR(+$C150*+VLOOKUP($B150,'%Analysis'!$A$4:$S$204,10,0)),"",+$C150*+VLOOKUP($B150,'%Analysis'!$A$4:$S$204,10,0))</f>
        <v/>
      </c>
      <c r="O150" s="19" t="str">
        <f>IF(ISERROR(+$C150*+VLOOKUP($B150,'%Analysis'!$A$4:$S$204,11,0)),"",+$C150*+VLOOKUP($B150,'%Analysis'!$A$4:$S$204,11,0))</f>
        <v/>
      </c>
      <c r="P150" s="19" t="str">
        <f>IF(ISERROR(+$C150*+VLOOKUP($B150,'%Analysis'!$A$4:$S$204,12,0)),"",+$C150*+VLOOKUP($B150,'%Analysis'!$A$4:$S$204,12,0))</f>
        <v/>
      </c>
      <c r="Q150" s="19" t="str">
        <f>IF(ISERROR(+$C150*+VLOOKUP($B150,'%Analysis'!$A$4:$S$204,13,0)),"",+$C150*+VLOOKUP($B150,'%Analysis'!$A$4:$S$204,13,0))</f>
        <v/>
      </c>
      <c r="R150" s="19" t="str">
        <f>IF(ISERROR(+$C150*+VLOOKUP($B150,'%Analysis'!$A$4:$S$204,14,0)),"",+$C150*+VLOOKUP($B150,'%Analysis'!$A$4:$S$204,14,0))</f>
        <v/>
      </c>
      <c r="S150" s="19" t="str">
        <f>IF(ISERROR(+$C150*+VLOOKUP($B150,'%Analysis'!$A$4:$S$204,15,0)),"",+$C150*+VLOOKUP($B150,'%Analysis'!$A$4:$S$204,15,0))</f>
        <v/>
      </c>
      <c r="T150" s="19" t="str">
        <f>IF(ISERROR(+$C150*+VLOOKUP($B150,'%Analysis'!$A$4:$S$204,16,0)),"",+$C150*+VLOOKUP($B150,'%Analysis'!$A$4:$S$204,16,0))</f>
        <v/>
      </c>
      <c r="U150" s="19" t="str">
        <f>IF(ISERROR(+$C150*+VLOOKUP($B150,'%Analysis'!$A$4:$S$204,17,0)),"",+$C150*+VLOOKUP($B150,'%Analysis'!$A$4:$S$204,17,0))</f>
        <v/>
      </c>
      <c r="V150" s="19" t="str">
        <f>IF(ISERROR(+$C150*+VLOOKUP($B150,'%Analysis'!$A$4:$S$204,18,0)),"",+$C150*+VLOOKUP($B150,'%Analysis'!$A$4:$S$204,18,0))</f>
        <v/>
      </c>
      <c r="Z150" s="37">
        <f>+'%Analysis'!A152</f>
        <v>0</v>
      </c>
    </row>
    <row r="151" spans="1:26" x14ac:dyDescent="0.2">
      <c r="A151" s="53"/>
      <c r="B151" s="19"/>
      <c r="C151" s="40"/>
      <c r="D151" s="40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Z151" s="37">
        <f>+'%Analysis'!A153</f>
        <v>0</v>
      </c>
    </row>
    <row r="152" spans="1:26" x14ac:dyDescent="0.2">
      <c r="A152" s="53"/>
      <c r="B152" s="19"/>
      <c r="C152" s="40"/>
      <c r="D152" s="40"/>
      <c r="Z152" s="37">
        <f>+'%Analysis'!A154</f>
        <v>0</v>
      </c>
    </row>
    <row r="153" spans="1:26" x14ac:dyDescent="0.2">
      <c r="A153" s="53"/>
      <c r="B153" s="19"/>
      <c r="C153" s="40" t="s">
        <v>46</v>
      </c>
      <c r="D153" s="40"/>
      <c r="F153" s="19">
        <f>384.248/414.63</f>
        <v>0.92672503195620193</v>
      </c>
      <c r="H153" s="19">
        <f>SUM(H136:H152)</f>
        <v>307.74</v>
      </c>
      <c r="I153" s="19">
        <f t="shared" ref="I153:V153" si="21">SUM(I136:I152)</f>
        <v>210.38</v>
      </c>
      <c r="J153" s="19">
        <f t="shared" si="21"/>
        <v>0</v>
      </c>
      <c r="K153" s="19">
        <f t="shared" si="21"/>
        <v>1360.32</v>
      </c>
      <c r="L153" s="19">
        <f t="shared" si="21"/>
        <v>6.3</v>
      </c>
      <c r="M153" s="19">
        <f t="shared" si="21"/>
        <v>576.94000000000005</v>
      </c>
      <c r="N153" s="19">
        <f t="shared" si="21"/>
        <v>0</v>
      </c>
      <c r="O153" s="19">
        <f t="shared" si="21"/>
        <v>0</v>
      </c>
      <c r="P153" s="19">
        <f t="shared" si="21"/>
        <v>1245.6799999999998</v>
      </c>
      <c r="Q153" s="19">
        <f t="shared" si="21"/>
        <v>17.100000000000001</v>
      </c>
      <c r="R153" s="19">
        <f t="shared" si="21"/>
        <v>452.92</v>
      </c>
      <c r="S153" s="19">
        <f t="shared" si="21"/>
        <v>4840.62</v>
      </c>
      <c r="T153" s="19">
        <f t="shared" si="21"/>
        <v>26.7</v>
      </c>
      <c r="U153" s="19">
        <f t="shared" si="21"/>
        <v>1347.7599999999998</v>
      </c>
      <c r="V153" s="19">
        <f t="shared" si="21"/>
        <v>129.56</v>
      </c>
      <c r="Z153" s="37">
        <f>+'%Analysis'!A155</f>
        <v>0</v>
      </c>
    </row>
    <row r="154" spans="1:26" x14ac:dyDescent="0.2">
      <c r="A154" s="53"/>
      <c r="B154" s="19"/>
      <c r="C154" s="40" t="s">
        <v>47</v>
      </c>
      <c r="D154" s="40"/>
      <c r="H154" s="75">
        <v>94.195999999999998</v>
      </c>
      <c r="I154" s="75">
        <v>61.978999999999999</v>
      </c>
      <c r="J154" s="75">
        <v>29.881</v>
      </c>
      <c r="K154" s="75">
        <v>56.076999999999998</v>
      </c>
      <c r="L154" s="75">
        <v>103.619</v>
      </c>
      <c r="M154" s="75">
        <v>40.304000000000002</v>
      </c>
      <c r="N154" s="75">
        <v>81.379000000000005</v>
      </c>
      <c r="O154" s="75">
        <v>153.32599999999999</v>
      </c>
      <c r="P154" s="165">
        <v>101.961</v>
      </c>
      <c r="Q154" s="19">
        <v>159.68799999999999</v>
      </c>
      <c r="R154" s="19">
        <v>69.62</v>
      </c>
      <c r="S154" s="19">
        <v>60.084000000000003</v>
      </c>
      <c r="T154" s="19">
        <v>79.866</v>
      </c>
      <c r="U154" s="19">
        <v>44.01</v>
      </c>
      <c r="V154" s="19">
        <v>18.015000000000001</v>
      </c>
      <c r="Z154" s="37">
        <f>+'%Analysis'!A156</f>
        <v>0</v>
      </c>
    </row>
    <row r="155" spans="1:26" x14ac:dyDescent="0.2">
      <c r="A155" s="53"/>
      <c r="B155" s="19"/>
      <c r="C155" s="40" t="s">
        <v>48</v>
      </c>
      <c r="D155" s="40"/>
      <c r="F155" s="40">
        <f>SUM(I155:V155)</f>
        <v>179.57211687535724</v>
      </c>
      <c r="H155" s="53">
        <f>H153/H154</f>
        <v>3.2670177077582916</v>
      </c>
      <c r="I155" s="53">
        <f>I153/I154</f>
        <v>3.3943755142870971</v>
      </c>
      <c r="J155" s="19">
        <f>J153/J154</f>
        <v>0</v>
      </c>
      <c r="K155" s="19">
        <f>K153/K154</f>
        <v>24.258073720063482</v>
      </c>
      <c r="L155" s="19">
        <f t="shared" ref="L155:V155" si="22">L153/L154</f>
        <v>6.0799660293961527E-2</v>
      </c>
      <c r="M155" s="19">
        <f t="shared" si="22"/>
        <v>14.314708217546647</v>
      </c>
      <c r="N155" s="19">
        <f t="shared" si="22"/>
        <v>0</v>
      </c>
      <c r="O155" s="19">
        <f t="shared" si="22"/>
        <v>0</v>
      </c>
      <c r="P155" s="19">
        <f t="shared" si="22"/>
        <v>12.217220309726267</v>
      </c>
      <c r="Q155" s="19">
        <f t="shared" si="22"/>
        <v>0.1070838134362006</v>
      </c>
      <c r="R155" s="19">
        <f t="shared" si="22"/>
        <v>6.5056018385521401</v>
      </c>
      <c r="S155" s="19">
        <f t="shared" si="22"/>
        <v>80.564210105851799</v>
      </c>
      <c r="T155" s="19">
        <f t="shared" si="22"/>
        <v>0.33430996919840733</v>
      </c>
      <c r="U155" s="19">
        <f t="shared" si="22"/>
        <v>30.623949102476704</v>
      </c>
      <c r="V155" s="19">
        <f t="shared" si="22"/>
        <v>7.1917846239245069</v>
      </c>
    </row>
    <row r="156" spans="1:26" x14ac:dyDescent="0.2">
      <c r="B156" s="19"/>
      <c r="C156" s="40" t="s">
        <v>49</v>
      </c>
      <c r="D156" s="40"/>
      <c r="H156" s="53">
        <f>SUM(H155:O155)</f>
        <v>45.294974819949481</v>
      </c>
      <c r="I156" s="53"/>
    </row>
    <row r="157" spans="1:26" x14ac:dyDescent="0.2">
      <c r="A157" s="53"/>
      <c r="B157" s="19"/>
      <c r="C157" s="40" t="s">
        <v>50</v>
      </c>
      <c r="D157" s="40"/>
      <c r="H157" s="53">
        <f t="shared" ref="H157:V157" si="23">H155/$H$156</f>
        <v>7.2127597393417328E-2</v>
      </c>
      <c r="I157" s="53">
        <f t="shared" si="23"/>
        <v>7.4939339910883362E-2</v>
      </c>
      <c r="J157" s="19">
        <f t="shared" si="23"/>
        <v>0</v>
      </c>
      <c r="K157" s="19">
        <f t="shared" si="23"/>
        <v>0.53555772613829522</v>
      </c>
      <c r="L157" s="19">
        <f t="shared" si="23"/>
        <v>1.3423047597585426E-3</v>
      </c>
      <c r="M157" s="19">
        <f t="shared" si="23"/>
        <v>0.31603303179764552</v>
      </c>
      <c r="N157" s="19">
        <f t="shared" si="23"/>
        <v>0</v>
      </c>
      <c r="O157" s="19">
        <f t="shared" si="23"/>
        <v>0</v>
      </c>
      <c r="P157" s="19">
        <f t="shared" si="23"/>
        <v>0.26972573355632773</v>
      </c>
      <c r="Q157" s="19">
        <f t="shared" si="23"/>
        <v>2.3641433483927487E-3</v>
      </c>
      <c r="R157" s="19">
        <f t="shared" si="23"/>
        <v>0.14362745236998889</v>
      </c>
      <c r="S157" s="19">
        <f t="shared" si="23"/>
        <v>1.7786566926264968</v>
      </c>
      <c r="T157" s="19">
        <f t="shared" si="23"/>
        <v>7.3807297725037172E-3</v>
      </c>
      <c r="U157" s="19">
        <f t="shared" si="23"/>
        <v>0.67610036707623589</v>
      </c>
      <c r="V157" s="19">
        <f t="shared" si="23"/>
        <v>0.15877665574409361</v>
      </c>
    </row>
    <row r="158" spans="1:26" x14ac:dyDescent="0.2">
      <c r="A158" s="53"/>
      <c r="B158" s="19"/>
      <c r="C158" s="40"/>
      <c r="D158" s="40"/>
    </row>
    <row r="159" spans="1:26" x14ac:dyDescent="0.2">
      <c r="A159" s="53"/>
      <c r="B159" s="19"/>
      <c r="C159" s="40"/>
      <c r="D159" s="40"/>
      <c r="G159" s="40" t="s">
        <v>131</v>
      </c>
      <c r="H159" s="25" t="s">
        <v>2</v>
      </c>
      <c r="I159" s="25" t="s">
        <v>3</v>
      </c>
      <c r="J159" s="25" t="s">
        <v>4</v>
      </c>
      <c r="K159" s="25" t="s">
        <v>5</v>
      </c>
      <c r="L159" s="25" t="s">
        <v>7</v>
      </c>
      <c r="M159" s="25" t="s">
        <v>6</v>
      </c>
      <c r="N159" s="27" t="s">
        <v>8</v>
      </c>
      <c r="O159" s="25" t="s">
        <v>9</v>
      </c>
      <c r="P159" s="25" t="s">
        <v>10</v>
      </c>
      <c r="Q159" s="25" t="s">
        <v>11</v>
      </c>
      <c r="R159" s="25" t="s">
        <v>12</v>
      </c>
      <c r="S159" s="25" t="s">
        <v>13</v>
      </c>
      <c r="T159" s="25" t="s">
        <v>14</v>
      </c>
      <c r="U159" s="25" t="s">
        <v>15</v>
      </c>
      <c r="V159" s="25" t="s">
        <v>16</v>
      </c>
    </row>
    <row r="160" spans="1:26" x14ac:dyDescent="0.2">
      <c r="A160" s="53"/>
      <c r="B160" s="19"/>
      <c r="C160" s="40"/>
      <c r="D160" s="40"/>
      <c r="E160" s="40" t="s">
        <v>134</v>
      </c>
      <c r="F160" s="40" t="s">
        <v>132</v>
      </c>
      <c r="G160" s="40">
        <f>+H153+I153+J153+K153+L153+M153+N153+O153+P153+Q153+R153+S153+T153</f>
        <v>9044.7000000000007</v>
      </c>
      <c r="H160" s="19">
        <f>+H153</f>
        <v>307.74</v>
      </c>
      <c r="I160" s="19">
        <f t="shared" ref="I160:T160" si="24">+I153</f>
        <v>210.38</v>
      </c>
      <c r="J160" s="19">
        <f t="shared" si="24"/>
        <v>0</v>
      </c>
      <c r="K160" s="19">
        <f t="shared" si="24"/>
        <v>1360.32</v>
      </c>
      <c r="L160" s="19">
        <f t="shared" si="24"/>
        <v>6.3</v>
      </c>
      <c r="M160" s="19">
        <f t="shared" si="24"/>
        <v>576.94000000000005</v>
      </c>
      <c r="N160" s="19">
        <f t="shared" si="24"/>
        <v>0</v>
      </c>
      <c r="O160" s="19">
        <f t="shared" si="24"/>
        <v>0</v>
      </c>
      <c r="P160" s="19">
        <f t="shared" si="24"/>
        <v>1245.6799999999998</v>
      </c>
      <c r="Q160" s="19">
        <f t="shared" si="24"/>
        <v>17.100000000000001</v>
      </c>
      <c r="R160" s="19">
        <f t="shared" si="24"/>
        <v>452.92</v>
      </c>
      <c r="S160" s="19">
        <f t="shared" si="24"/>
        <v>4840.62</v>
      </c>
      <c r="T160" s="19">
        <f t="shared" si="24"/>
        <v>26.7</v>
      </c>
    </row>
    <row r="161" spans="1:20" x14ac:dyDescent="0.2">
      <c r="A161" s="53"/>
      <c r="B161" s="19"/>
      <c r="C161" s="40"/>
      <c r="D161" s="40"/>
      <c r="E161" s="40" t="s">
        <v>134</v>
      </c>
      <c r="F161" s="40" t="s">
        <v>133</v>
      </c>
      <c r="G161" s="112">
        <f>G160/$G$160</f>
        <v>1</v>
      </c>
      <c r="H161" s="112">
        <f t="shared" ref="H161:T161" si="25">H160/$G$160</f>
        <v>3.4024345749444428E-2</v>
      </c>
      <c r="I161" s="112">
        <f t="shared" si="25"/>
        <v>2.3260030736232267E-2</v>
      </c>
      <c r="J161" s="112">
        <f t="shared" si="25"/>
        <v>0</v>
      </c>
      <c r="K161" s="112">
        <f t="shared" si="25"/>
        <v>0.15039968158147865</v>
      </c>
      <c r="L161" s="112">
        <f t="shared" si="25"/>
        <v>6.9654051543998133E-4</v>
      </c>
      <c r="M161" s="112">
        <f t="shared" si="25"/>
        <v>6.3787632536181416E-2</v>
      </c>
      <c r="N161" s="112">
        <f t="shared" si="25"/>
        <v>0</v>
      </c>
      <c r="O161" s="113">
        <f t="shared" si="25"/>
        <v>0</v>
      </c>
      <c r="P161" s="112">
        <f t="shared" si="25"/>
        <v>0.13772485544020252</v>
      </c>
      <c r="Q161" s="112">
        <f t="shared" si="25"/>
        <v>1.8906099704799496E-3</v>
      </c>
      <c r="R161" s="112">
        <f t="shared" si="25"/>
        <v>5.0075734960805772E-2</v>
      </c>
      <c r="S161" s="112">
        <f t="shared" si="25"/>
        <v>0.53518856346810839</v>
      </c>
      <c r="T161" s="112">
        <f t="shared" si="25"/>
        <v>2.9520050416265878E-3</v>
      </c>
    </row>
    <row r="162" spans="1:20" x14ac:dyDescent="0.2">
      <c r="A162" s="53"/>
      <c r="B162" s="19"/>
      <c r="C162" s="40"/>
      <c r="D162" s="40"/>
      <c r="E162" s="40" t="s">
        <v>134</v>
      </c>
    </row>
    <row r="163" spans="1:20" x14ac:dyDescent="0.2">
      <c r="A163" s="53"/>
      <c r="B163" s="19"/>
      <c r="C163" s="40"/>
      <c r="D163" s="40"/>
      <c r="E163" s="40" t="s">
        <v>134</v>
      </c>
    </row>
    <row r="164" spans="1:20" ht="13.5" thickBot="1" x14ac:dyDescent="0.25">
      <c r="A164" s="53"/>
      <c r="B164" s="19"/>
      <c r="C164" s="40"/>
      <c r="D164" s="40"/>
      <c r="E164" s="40" t="s">
        <v>134</v>
      </c>
    </row>
    <row r="165" spans="1:20" ht="13.5" thickBot="1" x14ac:dyDescent="0.25">
      <c r="A165" s="53"/>
      <c r="B165" s="19"/>
      <c r="C165" s="40"/>
      <c r="D165" s="40"/>
      <c r="G165" s="114"/>
    </row>
    <row r="166" spans="1:20" x14ac:dyDescent="0.2">
      <c r="A166" s="53"/>
      <c r="B166" s="19"/>
      <c r="C166" s="40"/>
      <c r="D166" s="40"/>
    </row>
    <row r="167" spans="1:20" x14ac:dyDescent="0.2">
      <c r="A167" s="53"/>
      <c r="B167" s="19"/>
      <c r="C167" s="40"/>
      <c r="D167" s="40"/>
    </row>
    <row r="168" spans="1:20" x14ac:dyDescent="0.2">
      <c r="A168" s="53"/>
      <c r="B168" s="19"/>
      <c r="C168" s="40"/>
      <c r="D168" s="40"/>
    </row>
    <row r="169" spans="1:20" x14ac:dyDescent="0.2">
      <c r="A169" s="53"/>
      <c r="B169" s="19"/>
      <c r="C169" s="40"/>
      <c r="D169" s="40"/>
    </row>
    <row r="170" spans="1:20" x14ac:dyDescent="0.2">
      <c r="A170" s="53"/>
      <c r="B170" s="19"/>
      <c r="C170" s="40"/>
      <c r="D170" s="40"/>
    </row>
    <row r="171" spans="1:20" x14ac:dyDescent="0.2">
      <c r="A171" s="53"/>
      <c r="B171" s="19"/>
      <c r="C171" s="40"/>
      <c r="D171" s="40"/>
    </row>
    <row r="172" spans="1:20" x14ac:dyDescent="0.2">
      <c r="A172" s="53"/>
      <c r="B172" s="19"/>
      <c r="C172" s="40"/>
      <c r="D172" s="40"/>
    </row>
    <row r="173" spans="1:20" x14ac:dyDescent="0.2">
      <c r="A173" s="53"/>
      <c r="B173" s="19"/>
      <c r="C173" s="40"/>
      <c r="D173" s="40"/>
    </row>
    <row r="174" spans="1:20" x14ac:dyDescent="0.2">
      <c r="A174" s="53"/>
      <c r="B174" s="19"/>
      <c r="C174" s="40"/>
      <c r="D174" s="40"/>
    </row>
    <row r="175" spans="1:20" x14ac:dyDescent="0.2">
      <c r="A175" s="53"/>
      <c r="B175" s="19"/>
      <c r="C175" s="40"/>
      <c r="D175" s="40"/>
    </row>
    <row r="176" spans="1:20" x14ac:dyDescent="0.2">
      <c r="A176" s="53"/>
      <c r="B176" s="19"/>
      <c r="C176" s="40"/>
      <c r="D176" s="40"/>
    </row>
    <row r="177" spans="1:4" x14ac:dyDescent="0.2">
      <c r="A177" s="53"/>
      <c r="B177" s="19"/>
      <c r="C177" s="40"/>
      <c r="D177" s="40"/>
    </row>
    <row r="178" spans="1:4" x14ac:dyDescent="0.2">
      <c r="A178" s="53"/>
      <c r="B178" s="19"/>
      <c r="C178" s="40"/>
      <c r="D178" s="40"/>
    </row>
    <row r="179" spans="1:4" x14ac:dyDescent="0.2">
      <c r="A179" s="53"/>
      <c r="B179" s="19"/>
      <c r="C179" s="40"/>
      <c r="D179" s="40"/>
    </row>
    <row r="180" spans="1:4" x14ac:dyDescent="0.2">
      <c r="A180" s="53"/>
      <c r="B180" s="19"/>
      <c r="C180" s="40"/>
      <c r="D180" s="40"/>
    </row>
    <row r="181" spans="1:4" x14ac:dyDescent="0.2">
      <c r="A181" s="53"/>
      <c r="B181" s="19"/>
      <c r="C181" s="40"/>
      <c r="D181" s="40"/>
    </row>
    <row r="182" spans="1:4" x14ac:dyDescent="0.2">
      <c r="A182" s="53"/>
      <c r="B182" s="19"/>
      <c r="C182" s="40"/>
      <c r="D182" s="40"/>
    </row>
    <row r="183" spans="1:4" x14ac:dyDescent="0.2">
      <c r="A183" s="53"/>
      <c r="B183" s="19"/>
      <c r="C183" s="40"/>
      <c r="D183" s="40"/>
    </row>
    <row r="184" spans="1:4" x14ac:dyDescent="0.2">
      <c r="A184" s="53"/>
      <c r="B184" s="19"/>
      <c r="C184" s="40"/>
      <c r="D184" s="40"/>
    </row>
    <row r="185" spans="1:4" x14ac:dyDescent="0.2">
      <c r="A185" s="53"/>
      <c r="B185" s="19"/>
      <c r="C185" s="40"/>
      <c r="D185" s="40"/>
    </row>
    <row r="186" spans="1:4" x14ac:dyDescent="0.2">
      <c r="A186" s="53"/>
      <c r="B186" s="19"/>
      <c r="C186" s="40"/>
      <c r="D186" s="40"/>
    </row>
    <row r="187" spans="1:4" x14ac:dyDescent="0.2">
      <c r="A187" s="53"/>
      <c r="B187" s="19"/>
      <c r="C187" s="40"/>
      <c r="D187" s="40"/>
    </row>
    <row r="188" spans="1:4" x14ac:dyDescent="0.2">
      <c r="A188" s="53"/>
      <c r="B188" s="19"/>
      <c r="C188" s="40"/>
      <c r="D188" s="40"/>
    </row>
    <row r="189" spans="1:4" x14ac:dyDescent="0.2">
      <c r="A189" s="53"/>
      <c r="B189" s="19"/>
      <c r="C189" s="40"/>
      <c r="D189" s="40"/>
    </row>
    <row r="190" spans="1:4" x14ac:dyDescent="0.2">
      <c r="A190" s="53"/>
      <c r="B190" s="19"/>
      <c r="C190" s="40"/>
      <c r="D190" s="40"/>
    </row>
    <row r="191" spans="1:4" x14ac:dyDescent="0.2">
      <c r="A191" s="53"/>
      <c r="B191" s="19"/>
      <c r="C191" s="40"/>
      <c r="D191" s="40"/>
    </row>
    <row r="192" spans="1:4" x14ac:dyDescent="0.2">
      <c r="A192" s="53"/>
      <c r="B192" s="19"/>
      <c r="C192" s="40"/>
      <c r="D192" s="40"/>
    </row>
    <row r="193" spans="1:7" s="19" customFormat="1" x14ac:dyDescent="0.2">
      <c r="A193" s="53"/>
      <c r="C193" s="40"/>
      <c r="D193" s="40"/>
      <c r="E193" s="40"/>
      <c r="F193" s="40"/>
      <c r="G193" s="40"/>
    </row>
    <row r="194" spans="1:7" s="19" customFormat="1" x14ac:dyDescent="0.2">
      <c r="A194" s="53"/>
      <c r="C194" s="40"/>
      <c r="D194" s="40"/>
      <c r="E194" s="40"/>
      <c r="F194" s="40"/>
      <c r="G194" s="40"/>
    </row>
    <row r="195" spans="1:7" s="19" customFormat="1" x14ac:dyDescent="0.2">
      <c r="A195" s="53"/>
      <c r="C195" s="40"/>
      <c r="D195" s="40"/>
      <c r="E195" s="40"/>
      <c r="F195" s="40"/>
      <c r="G195" s="40"/>
    </row>
    <row r="196" spans="1:7" s="19" customFormat="1" x14ac:dyDescent="0.2">
      <c r="A196" s="53"/>
      <c r="C196" s="40"/>
      <c r="D196" s="40"/>
      <c r="E196" s="40"/>
      <c r="F196" s="40"/>
      <c r="G196" s="40"/>
    </row>
    <row r="197" spans="1:7" s="19" customFormat="1" x14ac:dyDescent="0.2">
      <c r="A197" s="53"/>
      <c r="C197" s="40"/>
      <c r="D197" s="40"/>
      <c r="E197" s="40"/>
      <c r="F197" s="40"/>
      <c r="G197" s="40"/>
    </row>
    <row r="198" spans="1:7" s="19" customFormat="1" x14ac:dyDescent="0.2">
      <c r="A198" s="53"/>
      <c r="C198" s="40"/>
      <c r="D198" s="40"/>
      <c r="E198" s="40"/>
      <c r="F198" s="40"/>
      <c r="G198" s="40"/>
    </row>
    <row r="199" spans="1:7" s="19" customFormat="1" x14ac:dyDescent="0.2">
      <c r="A199" s="53"/>
      <c r="C199" s="40"/>
      <c r="D199" s="40"/>
      <c r="E199" s="40"/>
      <c r="F199" s="40"/>
      <c r="G199" s="40"/>
    </row>
    <row r="200" spans="1:7" s="19" customFormat="1" x14ac:dyDescent="0.2">
      <c r="A200" s="53"/>
      <c r="C200" s="40"/>
      <c r="D200" s="40"/>
      <c r="E200" s="40"/>
      <c r="F200" s="40"/>
      <c r="G200" s="40"/>
    </row>
    <row r="201" spans="1:7" s="19" customFormat="1" x14ac:dyDescent="0.2">
      <c r="A201" s="53"/>
      <c r="C201" s="40"/>
      <c r="D201" s="40"/>
      <c r="E201" s="40"/>
      <c r="F201" s="40"/>
      <c r="G201" s="40"/>
    </row>
    <row r="202" spans="1:7" s="19" customFormat="1" x14ac:dyDescent="0.2">
      <c r="A202" s="53"/>
      <c r="C202" s="40"/>
      <c r="D202" s="40"/>
      <c r="E202" s="40"/>
      <c r="F202" s="40"/>
      <c r="G202" s="40"/>
    </row>
    <row r="203" spans="1:7" s="19" customFormat="1" x14ac:dyDescent="0.2">
      <c r="A203" s="53"/>
      <c r="C203" s="40"/>
      <c r="D203" s="40"/>
      <c r="E203" s="40"/>
      <c r="F203" s="40"/>
      <c r="G203" s="40"/>
    </row>
    <row r="204" spans="1:7" s="19" customFormat="1" x14ac:dyDescent="0.2">
      <c r="A204" s="53"/>
      <c r="C204" s="40"/>
      <c r="D204" s="40"/>
      <c r="E204" s="40"/>
      <c r="F204" s="40"/>
      <c r="G204" s="40"/>
    </row>
    <row r="205" spans="1:7" s="19" customFormat="1" x14ac:dyDescent="0.2">
      <c r="A205" s="53"/>
      <c r="C205" s="40"/>
      <c r="D205" s="40"/>
      <c r="E205" s="40"/>
      <c r="F205" s="40"/>
      <c r="G205" s="40"/>
    </row>
    <row r="206" spans="1:7" s="19" customFormat="1" x14ac:dyDescent="0.2">
      <c r="A206" s="53"/>
      <c r="C206" s="40"/>
      <c r="D206" s="40"/>
      <c r="E206" s="40"/>
      <c r="F206" s="40"/>
      <c r="G206" s="40"/>
    </row>
    <row r="207" spans="1:7" s="19" customFormat="1" x14ac:dyDescent="0.2">
      <c r="A207" s="53"/>
      <c r="C207" s="40"/>
      <c r="D207" s="40"/>
      <c r="E207" s="40"/>
      <c r="F207" s="40"/>
      <c r="G207" s="40"/>
    </row>
  </sheetData>
  <mergeCells count="4">
    <mergeCell ref="F3:M3"/>
    <mergeCell ref="B5:D5"/>
    <mergeCell ref="F9:M9"/>
    <mergeCell ref="F15:M15"/>
  </mergeCells>
  <conditionalFormatting sqref="H19:K19 K18 F18:G18 I18">
    <cfRule type="cellIs" dxfId="8" priority="1" stopIfTrue="1" operator="lessThan">
      <formula>0.0001</formula>
    </cfRule>
  </conditionalFormatting>
  <conditionalFormatting sqref="F17:M17 F19:G19 L19:M19">
    <cfRule type="cellIs" dxfId="7" priority="2" stopIfTrue="1" operator="lessThan">
      <formula>0.005</formula>
    </cfRule>
    <cfRule type="cellIs" dxfId="6" priority="3" stopIfTrue="1" operator="greaterThan">
      <formula>0.005</formula>
    </cfRule>
  </conditionalFormatting>
  <dataValidations count="2">
    <dataValidation type="list" allowBlank="1" showInputMessage="1" showErrorMessage="1" sqref="O14">
      <formula1>#REF!</formula1>
    </dataValidation>
    <dataValidation type="list" allowBlank="1" showInputMessage="1" showErrorMessage="1" sqref="B7:B18">
      <formula1>$Z$2:$Z$128</formula1>
    </dataValidation>
  </dataValidations>
  <pageMargins left="0.7" right="0.7" top="0.75" bottom="0.75" header="0.3" footer="0.3"/>
  <pageSetup scale="70" orientation="portrait" horizontalDpi="4294967295" verticalDpi="4294967293" r:id="rId1"/>
  <headerFooter alignWithMargins="0">
    <oddFooter>&amp;C&amp;F</oddFooter>
  </headerFooter>
  <drawing r:id="rId2"/>
  <legacyDrawing r:id="rId3"/>
  <controls>
    <mc:AlternateContent xmlns:mc="http://schemas.openxmlformats.org/markup-compatibility/2006">
      <mc:Choice Requires="x14">
        <control shapeId="60419" r:id="rId4" name="CheckBox2">
          <controlPr autoLine="0" linkedCell="J2" r:id="rId5">
            <anchor moveWithCells="1">
              <from>
                <xdr:col>8</xdr:col>
                <xdr:colOff>66675</xdr:colOff>
                <xdr:row>1</xdr:row>
                <xdr:rowOff>47625</xdr:rowOff>
              </from>
              <to>
                <xdr:col>10</xdr:col>
                <xdr:colOff>371475</xdr:colOff>
                <xdr:row>1</xdr:row>
                <xdr:rowOff>304800</xdr:rowOff>
              </to>
            </anchor>
          </controlPr>
        </control>
      </mc:Choice>
      <mc:Fallback>
        <control shapeId="60419" r:id="rId4" name="CheckBox2"/>
      </mc:Fallback>
    </mc:AlternateContent>
    <mc:AlternateContent xmlns:mc="http://schemas.openxmlformats.org/markup-compatibility/2006">
      <mc:Choice Requires="x14">
        <control shapeId="60418" r:id="rId6" name="CheckBox1">
          <controlPr autoLine="0" linkedCell="M2" r:id="rId7">
            <anchor moveWithCells="1">
              <from>
                <xdr:col>10</xdr:col>
                <xdr:colOff>333375</xdr:colOff>
                <xdr:row>1</xdr:row>
                <xdr:rowOff>38100</xdr:rowOff>
              </from>
              <to>
                <xdr:col>13</xdr:col>
                <xdr:colOff>152400</xdr:colOff>
                <xdr:row>1</xdr:row>
                <xdr:rowOff>314325</xdr:rowOff>
              </to>
            </anchor>
          </controlPr>
        </control>
      </mc:Choice>
      <mc:Fallback>
        <control shapeId="60418" r:id="rId6" name="CheckBox1"/>
      </mc:Fallback>
    </mc:AlternateContent>
    <mc:AlternateContent xmlns:mc="http://schemas.openxmlformats.org/markup-compatibility/2006">
      <mc:Choice Requires="x14">
        <control shapeId="60417" r:id="rId8" name="Button 1">
          <controlPr defaultSize="0" print="0" autoFill="0" autoPict="0" macro="[0]!FitScreen1">
            <anchor moveWithCells="1">
              <from>
                <xdr:col>6</xdr:col>
                <xdr:colOff>257175</xdr:colOff>
                <xdr:row>0</xdr:row>
                <xdr:rowOff>38100</xdr:rowOff>
              </from>
              <to>
                <xdr:col>7</xdr:col>
                <xdr:colOff>371475</xdr:colOff>
                <xdr:row>1</xdr:row>
                <xdr:rowOff>295275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AB207"/>
  <sheetViews>
    <sheetView showGridLines="0" showRowColHeaders="0" showOutlineSymbols="0" zoomScale="114" zoomScaleNormal="114" workbookViewId="0">
      <selection activeCell="B7" sqref="B7"/>
    </sheetView>
  </sheetViews>
  <sheetFormatPr defaultRowHeight="12.75" x14ac:dyDescent="0.2"/>
  <cols>
    <col min="1" max="1" width="5" style="136" bestFit="1" customWidth="1"/>
    <col min="2" max="2" width="15.85546875" style="34" customWidth="1"/>
    <col min="3" max="4" width="9" style="43" customWidth="1"/>
    <col min="5" max="5" width="8.5703125" style="40" customWidth="1"/>
    <col min="6" max="7" width="9" style="40" customWidth="1"/>
    <col min="8" max="9" width="9" style="19" customWidth="1"/>
    <col min="10" max="10" width="9.42578125" style="19" customWidth="1"/>
    <col min="11" max="11" width="9" style="19" customWidth="1"/>
    <col min="12" max="12" width="10.28515625" style="19" customWidth="1"/>
    <col min="13" max="22" width="9" style="19" customWidth="1"/>
    <col min="23" max="25" width="9.140625" style="19"/>
    <col min="26" max="26" width="9.140625" style="19" customWidth="1"/>
    <col min="27" max="28" width="9.140625" style="19"/>
    <col min="29" max="16384" width="9.140625" style="34"/>
  </cols>
  <sheetData>
    <row r="1" spans="1:28" s="73" customFormat="1" x14ac:dyDescent="0.2">
      <c r="A1" s="13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</row>
    <row r="2" spans="1:28" ht="27" thickBot="1" x14ac:dyDescent="0.45">
      <c r="A2" s="132"/>
      <c r="B2" s="35" t="s">
        <v>65</v>
      </c>
      <c r="C2" s="62"/>
      <c r="D2" s="94" t="s">
        <v>158</v>
      </c>
      <c r="E2" s="33"/>
      <c r="F2" s="33"/>
      <c r="G2" s="23"/>
      <c r="H2" s="23"/>
      <c r="I2" s="23"/>
      <c r="J2" s="29" t="b">
        <v>1</v>
      </c>
      <c r="L2" s="23"/>
      <c r="M2" s="29" t="b">
        <v>0</v>
      </c>
      <c r="N2" s="23"/>
    </row>
    <row r="3" spans="1:28" ht="18" customHeight="1" thickBot="1" x14ac:dyDescent="0.3">
      <c r="A3" s="132"/>
      <c r="B3" s="28"/>
      <c r="C3" s="36"/>
      <c r="D3" s="94" t="s">
        <v>79</v>
      </c>
      <c r="E3" s="33"/>
      <c r="F3" s="216" t="s">
        <v>81</v>
      </c>
      <c r="G3" s="217"/>
      <c r="H3" s="217"/>
      <c r="I3" s="217"/>
      <c r="J3" s="217"/>
      <c r="K3" s="217"/>
      <c r="L3" s="217"/>
      <c r="M3" s="218"/>
      <c r="N3" s="64"/>
      <c r="R3" s="23"/>
      <c r="S3" s="23"/>
      <c r="T3" s="23"/>
      <c r="Z3" s="37" t="str">
        <f>+'%Analysis'!A5</f>
        <v>Al2O3</v>
      </c>
    </row>
    <row r="4" spans="1:28" ht="18" customHeight="1" thickBot="1" x14ac:dyDescent="0.3">
      <c r="A4" s="132"/>
      <c r="B4" s="14"/>
      <c r="C4" s="32"/>
      <c r="D4" s="32"/>
      <c r="E4" s="102" t="s">
        <v>41</v>
      </c>
      <c r="F4" s="169" t="s">
        <v>113</v>
      </c>
      <c r="G4" s="170" t="e">
        <f>C92</f>
        <v>#DIV/0!</v>
      </c>
      <c r="H4" s="169" t="s">
        <v>5</v>
      </c>
      <c r="I4" s="170" t="e">
        <f>F92</f>
        <v>#DIV/0!</v>
      </c>
      <c r="J4" s="171" t="s">
        <v>114</v>
      </c>
      <c r="K4" s="168" t="e">
        <f>L92</f>
        <v>#DIV/0!</v>
      </c>
      <c r="L4" s="171" t="s">
        <v>115</v>
      </c>
      <c r="M4" s="168" t="e">
        <f>M92</f>
        <v>#DIV/0!</v>
      </c>
      <c r="O4" s="23"/>
      <c r="P4" s="23"/>
      <c r="R4" s="23"/>
      <c r="S4" s="23"/>
      <c r="T4" s="23"/>
      <c r="Z4" s="37" t="str">
        <f>+'%Analysis'!A6</f>
        <v>Albany Slip</v>
      </c>
    </row>
    <row r="5" spans="1:28" ht="18" customHeight="1" thickBot="1" x14ac:dyDescent="0.3">
      <c r="A5" s="132"/>
      <c r="B5" s="219" t="s">
        <v>63</v>
      </c>
      <c r="C5" s="220"/>
      <c r="D5" s="221"/>
      <c r="E5" s="103" t="s">
        <v>112</v>
      </c>
      <c r="F5" s="172" t="s">
        <v>116</v>
      </c>
      <c r="G5" s="173" t="e">
        <f>D92</f>
        <v>#DIV/0!</v>
      </c>
      <c r="H5" s="172" t="s">
        <v>6</v>
      </c>
      <c r="I5" s="173" t="e">
        <f>G92</f>
        <v>#DIV/0!</v>
      </c>
      <c r="J5" s="174" t="s">
        <v>117</v>
      </c>
      <c r="K5" s="175" t="e">
        <f>+K92</f>
        <v>#DIV/0!</v>
      </c>
      <c r="L5" s="176" t="s">
        <v>118</v>
      </c>
      <c r="M5" s="168" t="e">
        <f>M4/K4</f>
        <v>#DIV/0!</v>
      </c>
      <c r="R5" s="23"/>
      <c r="S5" s="23"/>
      <c r="T5" s="23"/>
      <c r="U5" s="23"/>
      <c r="V5" s="23"/>
      <c r="Z5" s="37" t="str">
        <f>+'%Analysis'!A7</f>
        <v>Alumina Hydrate</v>
      </c>
    </row>
    <row r="6" spans="1:28" ht="18" customHeight="1" thickBot="1" x14ac:dyDescent="0.3">
      <c r="A6" s="133"/>
      <c r="B6" s="16" t="s">
        <v>0</v>
      </c>
      <c r="C6" s="17" t="s">
        <v>44</v>
      </c>
      <c r="D6" s="18" t="s">
        <v>57</v>
      </c>
      <c r="E6" s="104">
        <v>100</v>
      </c>
      <c r="F6" s="177" t="s">
        <v>119</v>
      </c>
      <c r="G6" s="178" t="e">
        <f>E92</f>
        <v>#DIV/0!</v>
      </c>
      <c r="H6" s="172" t="s">
        <v>7</v>
      </c>
      <c r="I6" s="173" t="e">
        <f>I92</f>
        <v>#DIV/0!</v>
      </c>
      <c r="J6" s="177" t="s">
        <v>120</v>
      </c>
      <c r="K6" s="178" t="e">
        <f>Q155/$H$156</f>
        <v>#DIV/0!</v>
      </c>
      <c r="L6" s="179"/>
      <c r="M6" s="180"/>
      <c r="R6" s="23"/>
      <c r="S6" s="23"/>
      <c r="T6" s="23"/>
      <c r="U6" s="23"/>
      <c r="V6" s="23"/>
      <c r="Z6" s="37" t="str">
        <f>+'%Analysis'!A8</f>
        <v>B2O3</v>
      </c>
    </row>
    <row r="7" spans="1:28" ht="18" customHeight="1" x14ac:dyDescent="0.2">
      <c r="A7" s="134"/>
      <c r="B7" s="96"/>
      <c r="C7" s="97"/>
      <c r="D7" s="98" t="str">
        <f t="shared" ref="D7:D18" si="0">IF(C7&gt;0,C7/SUM($C$7:$C$18)*100,"")</f>
        <v/>
      </c>
      <c r="E7" s="105" t="str">
        <f>IF(C7&gt;0,D7*$E$6*0.01,"")</f>
        <v/>
      </c>
      <c r="F7" s="169" t="s">
        <v>121</v>
      </c>
      <c r="G7" s="170" t="e">
        <f>SUM(G4:G6)</f>
        <v>#DIV/0!</v>
      </c>
      <c r="H7" s="172" t="s">
        <v>8</v>
      </c>
      <c r="I7" s="173" t="e">
        <f>J92</f>
        <v>#DIV/0!</v>
      </c>
      <c r="J7" s="181"/>
      <c r="K7" s="180"/>
      <c r="L7" s="182"/>
      <c r="M7" s="183"/>
      <c r="R7" s="23"/>
      <c r="S7" s="23"/>
      <c r="T7" s="23"/>
      <c r="U7" s="23"/>
      <c r="V7" s="23"/>
      <c r="Z7" s="37" t="str">
        <f>+'%Analysis'!A9</f>
        <v>BaCarb</v>
      </c>
    </row>
    <row r="8" spans="1:28" ht="18" customHeight="1" thickBot="1" x14ac:dyDescent="0.25">
      <c r="A8" s="134"/>
      <c r="B8" s="96"/>
      <c r="C8" s="97"/>
      <c r="D8" s="98" t="str">
        <f t="shared" si="0"/>
        <v/>
      </c>
      <c r="E8" s="105" t="str">
        <f t="shared" ref="E8:E18" si="1">IF(C8&gt;0,D8*$E$6*0.01,"")</f>
        <v/>
      </c>
      <c r="F8" s="177" t="s">
        <v>45</v>
      </c>
      <c r="G8" s="178" t="e">
        <f>SUM(I4:I8)</f>
        <v>#DIV/0!</v>
      </c>
      <c r="H8" s="177" t="s">
        <v>9</v>
      </c>
      <c r="I8" s="178" t="e">
        <f>H92</f>
        <v>#DIV/0!</v>
      </c>
      <c r="J8" s="183"/>
      <c r="K8" s="184"/>
      <c r="L8" s="179"/>
      <c r="M8" s="180"/>
      <c r="O8" s="65"/>
      <c r="P8" s="65"/>
      <c r="R8" s="23"/>
      <c r="S8" s="23"/>
      <c r="T8" s="23"/>
      <c r="U8" s="23"/>
      <c r="V8" s="23"/>
      <c r="Z8" s="37" t="str">
        <f>+'%Analysis'!A10</f>
        <v>BaO</v>
      </c>
    </row>
    <row r="9" spans="1:28" ht="18" customHeight="1" thickBot="1" x14ac:dyDescent="0.25">
      <c r="A9" s="134"/>
      <c r="B9" s="96"/>
      <c r="C9" s="97"/>
      <c r="D9" s="98" t="str">
        <f t="shared" si="0"/>
        <v/>
      </c>
      <c r="E9" s="105" t="str">
        <f t="shared" si="1"/>
        <v/>
      </c>
      <c r="F9" s="222" t="s">
        <v>78</v>
      </c>
      <c r="G9" s="223"/>
      <c r="H9" s="223"/>
      <c r="I9" s="223"/>
      <c r="J9" s="223"/>
      <c r="K9" s="223"/>
      <c r="L9" s="223"/>
      <c r="M9" s="224"/>
      <c r="O9" s="101"/>
      <c r="P9" s="65"/>
      <c r="Q9" s="23"/>
      <c r="R9" s="23"/>
      <c r="S9" s="23"/>
      <c r="T9" s="23"/>
      <c r="U9" s="23"/>
      <c r="V9" s="23"/>
      <c r="Z9" s="37" t="str">
        <f>+'%Analysis'!A11</f>
        <v>Barnard Slip</v>
      </c>
    </row>
    <row r="10" spans="1:28" ht="18" customHeight="1" thickBot="1" x14ac:dyDescent="0.25">
      <c r="A10" s="134"/>
      <c r="B10" s="96"/>
      <c r="C10" s="97"/>
      <c r="D10" s="98" t="str">
        <f t="shared" si="0"/>
        <v/>
      </c>
      <c r="E10" s="105" t="str">
        <f t="shared" si="1"/>
        <v/>
      </c>
      <c r="F10" s="169" t="s">
        <v>113</v>
      </c>
      <c r="G10" s="170" t="e">
        <f>C89</f>
        <v>#DIV/0!</v>
      </c>
      <c r="H10" s="169" t="s">
        <v>5</v>
      </c>
      <c r="I10" s="170" t="e">
        <f>F89</f>
        <v>#DIV/0!</v>
      </c>
      <c r="J10" s="185" t="s">
        <v>114</v>
      </c>
      <c r="K10" s="186" t="e">
        <f>L89</f>
        <v>#DIV/0!</v>
      </c>
      <c r="L10" s="171" t="s">
        <v>115</v>
      </c>
      <c r="M10" s="168" t="e">
        <f>M89</f>
        <v>#DIV/0!</v>
      </c>
      <c r="N10" s="91"/>
      <c r="O10" s="127"/>
      <c r="P10" s="66"/>
      <c r="R10" s="23"/>
      <c r="S10" s="23"/>
      <c r="T10" s="23"/>
      <c r="U10" s="23"/>
      <c r="V10" s="23"/>
      <c r="Z10" s="37" t="str">
        <f>+'%Analysis'!A12</f>
        <v>Bentone MA</v>
      </c>
    </row>
    <row r="11" spans="1:28" ht="18" customHeight="1" thickBot="1" x14ac:dyDescent="0.25">
      <c r="A11" s="134"/>
      <c r="B11" s="96"/>
      <c r="C11" s="97"/>
      <c r="D11" s="98" t="str">
        <f t="shared" si="0"/>
        <v/>
      </c>
      <c r="E11" s="105" t="str">
        <f t="shared" si="1"/>
        <v/>
      </c>
      <c r="F11" s="172" t="s">
        <v>116</v>
      </c>
      <c r="G11" s="173" t="e">
        <f>D89</f>
        <v>#DIV/0!</v>
      </c>
      <c r="H11" s="172" t="s">
        <v>6</v>
      </c>
      <c r="I11" s="173" t="e">
        <f>G89</f>
        <v>#DIV/0!</v>
      </c>
      <c r="J11" s="171" t="s">
        <v>117</v>
      </c>
      <c r="K11" s="168" t="e">
        <f>K89</f>
        <v>#DIV/0!</v>
      </c>
      <c r="L11" s="176" t="s">
        <v>118</v>
      </c>
      <c r="M11" s="168" t="e">
        <f>M10/K10</f>
        <v>#DIV/0!</v>
      </c>
      <c r="N11" s="69"/>
      <c r="O11" s="128"/>
      <c r="P11" s="66"/>
      <c r="R11" s="23"/>
      <c r="S11" s="23"/>
      <c r="T11" s="23"/>
      <c r="U11" s="23"/>
      <c r="V11" s="23"/>
      <c r="Z11" s="37" t="str">
        <f>+'%Analysis'!A13</f>
        <v>Bentonite</v>
      </c>
    </row>
    <row r="12" spans="1:28" ht="18" customHeight="1" thickBot="1" x14ac:dyDescent="0.25">
      <c r="A12" s="134"/>
      <c r="B12" s="96"/>
      <c r="C12" s="97"/>
      <c r="D12" s="98" t="str">
        <f t="shared" si="0"/>
        <v/>
      </c>
      <c r="E12" s="105" t="str">
        <f t="shared" si="1"/>
        <v/>
      </c>
      <c r="F12" s="177" t="s">
        <v>119</v>
      </c>
      <c r="G12" s="178" t="e">
        <f>E89</f>
        <v>#DIV/0!</v>
      </c>
      <c r="H12" s="172" t="s">
        <v>7</v>
      </c>
      <c r="I12" s="173" t="e">
        <f>I89</f>
        <v>#DIV/0!</v>
      </c>
      <c r="J12" s="187"/>
      <c r="K12" s="188"/>
      <c r="L12" s="189"/>
      <c r="M12" s="189"/>
      <c r="N12" s="91"/>
      <c r="O12" s="129"/>
      <c r="P12" s="89"/>
      <c r="Q12" s="89"/>
      <c r="R12" s="89"/>
      <c r="S12" s="23"/>
      <c r="T12" s="23"/>
      <c r="U12" s="23"/>
      <c r="V12" s="23"/>
      <c r="Z12" s="37" t="str">
        <f>+'%Analysis'!A14</f>
        <v>BoneAsh</v>
      </c>
    </row>
    <row r="13" spans="1:28" ht="18" customHeight="1" x14ac:dyDescent="0.2">
      <c r="A13" s="134"/>
      <c r="B13" s="96"/>
      <c r="C13" s="97"/>
      <c r="D13" s="98" t="str">
        <f t="shared" si="0"/>
        <v/>
      </c>
      <c r="E13" s="105" t="str">
        <f t="shared" si="1"/>
        <v/>
      </c>
      <c r="F13" s="169" t="s">
        <v>121</v>
      </c>
      <c r="G13" s="170" t="e">
        <f>SUM(G10:G12)</f>
        <v>#DIV/0!</v>
      </c>
      <c r="H13" s="172" t="s">
        <v>8</v>
      </c>
      <c r="I13" s="173" t="e">
        <f>J89</f>
        <v>#DIV/0!</v>
      </c>
      <c r="J13" s="190"/>
      <c r="K13" s="191"/>
      <c r="L13" s="191"/>
      <c r="M13" s="191"/>
      <c r="N13" s="95"/>
      <c r="O13" s="126"/>
      <c r="P13" s="66"/>
      <c r="Q13" s="90"/>
      <c r="R13" s="90"/>
      <c r="S13" s="23"/>
      <c r="T13" s="23"/>
      <c r="U13" s="23"/>
      <c r="V13" s="23"/>
      <c r="Z13" s="37" t="str">
        <f>+'%Analysis'!A15</f>
        <v>Borax</v>
      </c>
    </row>
    <row r="14" spans="1:28" ht="18" customHeight="1" thickBot="1" x14ac:dyDescent="0.25">
      <c r="A14" s="134"/>
      <c r="B14" s="96"/>
      <c r="C14" s="97"/>
      <c r="D14" s="98" t="str">
        <f t="shared" si="0"/>
        <v/>
      </c>
      <c r="E14" s="105" t="str">
        <f t="shared" si="1"/>
        <v/>
      </c>
      <c r="F14" s="192" t="s">
        <v>45</v>
      </c>
      <c r="G14" s="193" t="e">
        <f>SUM(I10:I14)</f>
        <v>#DIV/0!</v>
      </c>
      <c r="H14" s="192" t="s">
        <v>9</v>
      </c>
      <c r="I14" s="193" t="e">
        <f>H89</f>
        <v>#DIV/0!</v>
      </c>
      <c r="J14" s="194"/>
      <c r="K14" s="195"/>
      <c r="L14" s="195"/>
      <c r="M14" s="195"/>
      <c r="N14" s="88"/>
      <c r="O14" s="129"/>
      <c r="P14" s="89"/>
      <c r="Q14" s="89"/>
      <c r="R14" s="89"/>
      <c r="S14" s="23"/>
      <c r="T14" s="23"/>
      <c r="U14" s="23"/>
      <c r="V14" s="23"/>
      <c r="Z14" s="37" t="str">
        <f>+'%Analysis'!A16</f>
        <v>CaO</v>
      </c>
    </row>
    <row r="15" spans="1:28" ht="18" customHeight="1" thickBot="1" x14ac:dyDescent="0.25">
      <c r="A15" s="134"/>
      <c r="B15" s="96"/>
      <c r="C15" s="97"/>
      <c r="D15" s="98" t="str">
        <f t="shared" si="0"/>
        <v/>
      </c>
      <c r="E15" s="105" t="str">
        <f t="shared" si="1"/>
        <v/>
      </c>
      <c r="F15" s="222" t="s">
        <v>64</v>
      </c>
      <c r="G15" s="223"/>
      <c r="H15" s="223"/>
      <c r="I15" s="223"/>
      <c r="J15" s="223"/>
      <c r="K15" s="223"/>
      <c r="L15" s="223"/>
      <c r="M15" s="224"/>
      <c r="N15" s="66"/>
      <c r="O15" s="126"/>
      <c r="P15" s="66"/>
      <c r="Q15" s="90"/>
      <c r="R15" s="90"/>
      <c r="S15" s="23"/>
      <c r="T15" s="23"/>
      <c r="U15" s="23"/>
      <c r="V15" s="23"/>
      <c r="Z15" s="37" t="str">
        <f>+'%Analysis'!A17</f>
        <v>ChromeOxide</v>
      </c>
    </row>
    <row r="16" spans="1:28" ht="18" customHeight="1" thickBot="1" x14ac:dyDescent="0.25">
      <c r="A16" s="134"/>
      <c r="B16" s="96"/>
      <c r="C16" s="97"/>
      <c r="D16" s="98" t="str">
        <f t="shared" si="0"/>
        <v/>
      </c>
      <c r="E16" s="105" t="str">
        <f t="shared" si="1"/>
        <v/>
      </c>
      <c r="F16" s="196" t="s">
        <v>113</v>
      </c>
      <c r="G16" s="197" t="s">
        <v>116</v>
      </c>
      <c r="H16" s="197" t="s">
        <v>119</v>
      </c>
      <c r="I16" s="197" t="s">
        <v>5</v>
      </c>
      <c r="J16" s="197" t="s">
        <v>6</v>
      </c>
      <c r="K16" s="197" t="s">
        <v>9</v>
      </c>
      <c r="L16" s="197" t="s">
        <v>7</v>
      </c>
      <c r="M16" s="198" t="s">
        <v>8</v>
      </c>
      <c r="N16" s="88"/>
      <c r="O16" s="127"/>
      <c r="P16" s="89"/>
      <c r="Q16" s="89"/>
      <c r="R16" s="89"/>
      <c r="S16" s="23"/>
      <c r="T16" s="23"/>
      <c r="U16" s="23"/>
      <c r="V16" s="23"/>
      <c r="Z16" s="37" t="str">
        <f>+'%Analysis'!A18</f>
        <v>CMC Gum</v>
      </c>
    </row>
    <row r="17" spans="1:28" ht="18" customHeight="1" thickBot="1" x14ac:dyDescent="0.25">
      <c r="A17" s="134"/>
      <c r="B17" s="96"/>
      <c r="C17" s="97"/>
      <c r="D17" s="98" t="str">
        <f t="shared" si="0"/>
        <v/>
      </c>
      <c r="E17" s="105" t="str">
        <f t="shared" si="1"/>
        <v/>
      </c>
      <c r="F17" s="199" t="e">
        <f t="shared" ref="F17:M17" si="2">C90</f>
        <v>#DIV/0!</v>
      </c>
      <c r="G17" s="200" t="e">
        <f t="shared" si="2"/>
        <v>#DIV/0!</v>
      </c>
      <c r="H17" s="200" t="e">
        <f t="shared" si="2"/>
        <v>#DIV/0!</v>
      </c>
      <c r="I17" s="200" t="e">
        <f t="shared" si="2"/>
        <v>#DIV/0!</v>
      </c>
      <c r="J17" s="200" t="e">
        <f t="shared" si="2"/>
        <v>#DIV/0!</v>
      </c>
      <c r="K17" s="200" t="e">
        <f t="shared" si="2"/>
        <v>#DIV/0!</v>
      </c>
      <c r="L17" s="200" t="e">
        <f t="shared" si="2"/>
        <v>#DIV/0!</v>
      </c>
      <c r="M17" s="201" t="e">
        <f t="shared" si="2"/>
        <v>#DIV/0!</v>
      </c>
      <c r="N17" s="88"/>
      <c r="O17" s="126"/>
      <c r="P17" s="66"/>
      <c r="Q17" s="90"/>
      <c r="R17" s="90"/>
      <c r="Z17" s="37" t="str">
        <f>+'%Analysis'!A19</f>
        <v>CoCarb</v>
      </c>
    </row>
    <row r="18" spans="1:28" ht="18" customHeight="1" thickBot="1" x14ac:dyDescent="0.25">
      <c r="A18" s="134"/>
      <c r="B18" s="96"/>
      <c r="C18" s="97"/>
      <c r="D18" s="98" t="str">
        <f t="shared" si="0"/>
        <v/>
      </c>
      <c r="E18" s="105" t="str">
        <f t="shared" si="1"/>
        <v/>
      </c>
      <c r="F18" s="196" t="s">
        <v>114</v>
      </c>
      <c r="G18" s="202" t="s">
        <v>115</v>
      </c>
      <c r="H18" s="203"/>
      <c r="I18" s="204"/>
      <c r="J18" s="205"/>
      <c r="K18" s="206"/>
      <c r="L18" s="171" t="s">
        <v>117</v>
      </c>
      <c r="M18" s="207" t="s">
        <v>120</v>
      </c>
      <c r="N18" s="88"/>
      <c r="O18" s="129"/>
      <c r="P18" s="89"/>
      <c r="Q18" s="89"/>
      <c r="R18" s="89"/>
      <c r="Z18" s="37" t="str">
        <f>+'%Analysis'!A20</f>
        <v>Coleman</v>
      </c>
    </row>
    <row r="19" spans="1:28" ht="18" customHeight="1" thickBot="1" x14ac:dyDescent="0.25">
      <c r="A19" s="132"/>
      <c r="B19" s="106"/>
      <c r="C19" s="99">
        <f>SUM(C7:C18)</f>
        <v>0</v>
      </c>
      <c r="D19" s="100">
        <f>SUM(D7:D18)</f>
        <v>0</v>
      </c>
      <c r="E19" s="105">
        <f>SUM(E7:E18)</f>
        <v>0</v>
      </c>
      <c r="F19" s="199" t="e">
        <f>L90</f>
        <v>#DIV/0!</v>
      </c>
      <c r="G19" s="201" t="e">
        <f>M90</f>
        <v>#DIV/0!</v>
      </c>
      <c r="H19" s="208"/>
      <c r="I19" s="209"/>
      <c r="J19" s="210"/>
      <c r="K19" s="211"/>
      <c r="L19" s="199" t="e">
        <f>+K90</f>
        <v>#DIV/0!</v>
      </c>
      <c r="M19" s="201" t="e">
        <f>(Q153/Q154)/$B$88</f>
        <v>#DIV/0!</v>
      </c>
      <c r="N19" s="88"/>
      <c r="O19" s="126"/>
      <c r="P19" s="66"/>
      <c r="Q19" s="90"/>
      <c r="R19" s="90"/>
      <c r="Z19" s="37" t="str">
        <f>+'%Analysis'!A21</f>
        <v>CoOxide</v>
      </c>
    </row>
    <row r="20" spans="1:28" ht="21" customHeight="1" x14ac:dyDescent="0.3">
      <c r="A20" s="132"/>
      <c r="B20" s="29"/>
      <c r="C20" s="107"/>
      <c r="D20" s="108"/>
      <c r="E20" s="109"/>
      <c r="F20" s="110"/>
      <c r="G20" s="109"/>
      <c r="H20" s="115"/>
      <c r="J20" s="111"/>
      <c r="K20" s="111"/>
      <c r="L20" s="111"/>
      <c r="M20" s="111"/>
      <c r="N20" s="91"/>
      <c r="O20" s="130"/>
      <c r="P20" s="63"/>
      <c r="Q20" s="63"/>
      <c r="R20" s="63"/>
      <c r="Z20" s="37" t="str">
        <f>+'%Analysis'!A22</f>
        <v>Corn Old</v>
      </c>
    </row>
    <row r="21" spans="1:28" s="70" customFormat="1" ht="19.5" customHeight="1" x14ac:dyDescent="0.2">
      <c r="A21" s="135"/>
      <c r="B21" s="92"/>
      <c r="C21" s="68"/>
      <c r="D21" s="93"/>
      <c r="E21" s="42"/>
      <c r="F21" s="91"/>
      <c r="G21" s="68"/>
      <c r="H21" s="91"/>
      <c r="I21" s="68"/>
      <c r="J21" s="67"/>
      <c r="K21" s="91"/>
      <c r="L21" s="68"/>
      <c r="M21" s="67"/>
      <c r="N21" s="67"/>
      <c r="O21" s="119"/>
      <c r="P21" s="63"/>
      <c r="Q21" s="63"/>
      <c r="R21" s="63"/>
      <c r="S21" s="69"/>
      <c r="T21" s="69"/>
      <c r="U21" s="69"/>
      <c r="V21" s="69"/>
      <c r="W21" s="69"/>
      <c r="X21" s="69"/>
      <c r="Y21" s="69"/>
      <c r="Z21" s="37" t="str">
        <f>+'%Analysis'!A23</f>
        <v>Cornwall</v>
      </c>
      <c r="AA21" s="69"/>
      <c r="AB21" s="69"/>
    </row>
    <row r="22" spans="1:28" s="70" customFormat="1" ht="19.5" customHeight="1" x14ac:dyDescent="0.2">
      <c r="A22" s="135"/>
      <c r="B22" s="92"/>
      <c r="C22" s="68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55"/>
      <c r="O22" s="119"/>
      <c r="P22" s="63"/>
      <c r="Q22" s="63"/>
      <c r="R22" s="63"/>
      <c r="S22" s="69"/>
      <c r="T22" s="69"/>
      <c r="U22" s="69"/>
      <c r="V22" s="69"/>
      <c r="W22" s="69"/>
      <c r="X22" s="69"/>
      <c r="Y22" s="69"/>
      <c r="Z22" s="37" t="str">
        <f>+'%Analysis'!A24</f>
        <v>Cu2O</v>
      </c>
      <c r="AA22" s="69"/>
      <c r="AB22" s="69"/>
    </row>
    <row r="23" spans="1:28" x14ac:dyDescent="0.2"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13"/>
      <c r="O23" s="13"/>
      <c r="Z23" s="37" t="str">
        <f>+'%Analysis'!A25</f>
        <v>CuCarb</v>
      </c>
    </row>
    <row r="24" spans="1:28" x14ac:dyDescent="0.2"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13"/>
      <c r="O24" s="13"/>
      <c r="Z24" s="37" t="str">
        <f>+'%Analysis'!A26</f>
        <v>Custer</v>
      </c>
    </row>
    <row r="25" spans="1:28" x14ac:dyDescent="0.2"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13"/>
      <c r="O25" s="13"/>
      <c r="Z25" s="37" t="str">
        <f>+'%Analysis'!A27</f>
        <v>Custer - Old</v>
      </c>
    </row>
    <row r="26" spans="1:28" x14ac:dyDescent="0.2">
      <c r="B26" s="41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13"/>
      <c r="O26" s="13"/>
      <c r="Z26" s="37" t="str">
        <f>+'%Analysis'!A28</f>
        <v>Dolomite</v>
      </c>
    </row>
    <row r="27" spans="1:28" x14ac:dyDescent="0.2">
      <c r="D27" s="39"/>
      <c r="E27" s="44"/>
      <c r="F27" s="13"/>
      <c r="G27" s="13"/>
      <c r="H27" s="13"/>
      <c r="I27" s="13"/>
      <c r="J27" s="13"/>
      <c r="K27" s="13"/>
      <c r="L27" s="13"/>
      <c r="M27" s="13"/>
      <c r="N27" s="13"/>
      <c r="O27" s="13"/>
      <c r="Z27" s="37" t="str">
        <f>+'%Analysis'!A29</f>
        <v>EPK</v>
      </c>
    </row>
    <row r="28" spans="1:28" s="45" customFormat="1" ht="15" x14ac:dyDescent="0.2">
      <c r="A28" s="137"/>
      <c r="C28" s="46" t="s">
        <v>75</v>
      </c>
      <c r="D28" s="47"/>
      <c r="E28" s="44"/>
      <c r="F28" s="33"/>
      <c r="G28" s="40"/>
      <c r="H28" s="42"/>
      <c r="I28" s="19"/>
      <c r="J28" s="19"/>
      <c r="K28" s="13"/>
      <c r="L28" s="13"/>
      <c r="M28" s="19"/>
      <c r="N28" s="19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37" t="str">
        <f>+'%Analysis'!A30</f>
        <v>EPK - Calcined</v>
      </c>
      <c r="AA28" s="19"/>
      <c r="AB28" s="19"/>
    </row>
    <row r="29" spans="1:28" s="19" customFormat="1" x14ac:dyDescent="0.2">
      <c r="A29" s="53"/>
      <c r="B29" s="21" t="s">
        <v>58</v>
      </c>
      <c r="C29" s="21" t="s">
        <v>2</v>
      </c>
      <c r="D29" s="8" t="s">
        <v>3</v>
      </c>
      <c r="E29" s="9" t="s">
        <v>4</v>
      </c>
      <c r="F29" s="21" t="s">
        <v>5</v>
      </c>
      <c r="G29" s="21" t="s">
        <v>6</v>
      </c>
      <c r="H29" s="10" t="s">
        <v>9</v>
      </c>
      <c r="I29" s="21" t="s">
        <v>7</v>
      </c>
      <c r="J29" s="21" t="s">
        <v>8</v>
      </c>
      <c r="K29" s="21" t="s">
        <v>12</v>
      </c>
      <c r="L29" s="22" t="s">
        <v>10</v>
      </c>
      <c r="M29" s="22" t="s">
        <v>13</v>
      </c>
      <c r="N29" s="21" t="s">
        <v>56</v>
      </c>
      <c r="Z29" s="37" t="str">
        <f>+'%Analysis'!A31</f>
        <v>Fe2O3</v>
      </c>
    </row>
    <row r="30" spans="1:28" s="19" customFormat="1" ht="15" customHeight="1" x14ac:dyDescent="0.2">
      <c r="A30" s="53"/>
      <c r="B30" s="12">
        <v>1</v>
      </c>
      <c r="C30" s="120">
        <v>1</v>
      </c>
      <c r="D30" s="120"/>
      <c r="E30" s="120"/>
      <c r="F30" s="120"/>
      <c r="G30" s="120"/>
      <c r="H30" s="120"/>
      <c r="I30" s="120"/>
      <c r="J30" s="120"/>
      <c r="K30" s="120">
        <v>2.1190000000000002</v>
      </c>
      <c r="L30" s="120"/>
      <c r="M30" s="12">
        <v>2.8530000000000002</v>
      </c>
      <c r="N30" s="12">
        <v>630</v>
      </c>
      <c r="Z30" s="37" t="str">
        <f>+'%Analysis'!A32</f>
        <v>Ferro3110</v>
      </c>
    </row>
    <row r="31" spans="1:28" s="19" customFormat="1" ht="15" customHeight="1" x14ac:dyDescent="0.2">
      <c r="A31" s="53"/>
      <c r="B31" s="12">
        <v>2</v>
      </c>
      <c r="C31" s="120">
        <v>1</v>
      </c>
      <c r="D31" s="120"/>
      <c r="E31" s="120"/>
      <c r="F31" s="120"/>
      <c r="G31" s="121"/>
      <c r="H31" s="120"/>
      <c r="I31" s="120"/>
      <c r="J31" s="120"/>
      <c r="K31" s="120"/>
      <c r="L31" s="120">
        <v>9.7199999999999995E-2</v>
      </c>
      <c r="M31" s="120">
        <v>3.4243000000000001</v>
      </c>
      <c r="N31" s="12">
        <v>695</v>
      </c>
      <c r="Z31" s="37" t="str">
        <f>+'%Analysis'!A33</f>
        <v>Ferro3124</v>
      </c>
    </row>
    <row r="32" spans="1:28" s="19" customFormat="1" ht="15" customHeight="1" x14ac:dyDescent="0.2">
      <c r="A32" s="53"/>
      <c r="B32" s="12">
        <v>3</v>
      </c>
      <c r="C32" s="120"/>
      <c r="D32" s="120">
        <v>1</v>
      </c>
      <c r="E32" s="120"/>
      <c r="F32" s="120"/>
      <c r="G32" s="121"/>
      <c r="H32" s="120"/>
      <c r="I32" s="120"/>
      <c r="J32" s="120"/>
      <c r="K32" s="120"/>
      <c r="L32" s="120">
        <v>0.29220000000000002</v>
      </c>
      <c r="M32" s="120">
        <v>2.44</v>
      </c>
      <c r="N32" s="12">
        <v>732</v>
      </c>
      <c r="Z32" s="37" t="str">
        <f>+'%Analysis'!A34</f>
        <v>Ferro3134</v>
      </c>
    </row>
    <row r="33" spans="1:28" ht="15" customHeight="1" x14ac:dyDescent="0.2">
      <c r="A33" s="53"/>
      <c r="B33" s="12">
        <v>4</v>
      </c>
      <c r="C33" s="120"/>
      <c r="D33" s="120">
        <v>1</v>
      </c>
      <c r="E33" s="120"/>
      <c r="F33" s="120"/>
      <c r="G33" s="120"/>
      <c r="H33" s="120"/>
      <c r="I33" s="120"/>
      <c r="J33" s="120"/>
      <c r="K33" s="120">
        <v>1.3</v>
      </c>
      <c r="L33" s="120"/>
      <c r="M33" s="12">
        <v>1.73</v>
      </c>
      <c r="N33" s="12">
        <v>790</v>
      </c>
      <c r="Z33" s="37" t="str">
        <f>+'%Analysis'!A35</f>
        <v>Ferro3195</v>
      </c>
    </row>
    <row r="34" spans="1:28" ht="15" customHeight="1" x14ac:dyDescent="0.2">
      <c r="A34" s="53"/>
      <c r="B34" s="12">
        <v>5</v>
      </c>
      <c r="C34" s="120"/>
      <c r="D34" s="120"/>
      <c r="E34" s="120">
        <v>1</v>
      </c>
      <c r="F34" s="120"/>
      <c r="G34" s="120"/>
      <c r="H34" s="120"/>
      <c r="I34" s="120"/>
      <c r="J34" s="120"/>
      <c r="K34" s="120">
        <v>0.7</v>
      </c>
      <c r="L34" s="120"/>
      <c r="M34" s="12">
        <v>0.3</v>
      </c>
      <c r="N34" s="12">
        <v>802</v>
      </c>
      <c r="Z34" s="37" t="str">
        <f>+'%Analysis'!A36</f>
        <v>Flint</v>
      </c>
    </row>
    <row r="35" spans="1:28" ht="15" customHeight="1" x14ac:dyDescent="0.2">
      <c r="A35" s="53"/>
      <c r="B35" s="12">
        <v>6</v>
      </c>
      <c r="C35" s="120"/>
      <c r="D35" s="120"/>
      <c r="E35" s="120"/>
      <c r="F35" s="120">
        <v>1</v>
      </c>
      <c r="G35" s="120"/>
      <c r="H35" s="120"/>
      <c r="I35" s="120"/>
      <c r="J35" s="120"/>
      <c r="K35" s="120">
        <v>1.51</v>
      </c>
      <c r="L35" s="120"/>
      <c r="M35" s="12">
        <v>0</v>
      </c>
      <c r="N35" s="12">
        <v>990</v>
      </c>
      <c r="Z35" s="37" t="str">
        <f>+'%Analysis'!A37</f>
        <v>G-200</v>
      </c>
    </row>
    <row r="36" spans="1:28" ht="15" customHeight="1" x14ac:dyDescent="0.2">
      <c r="A36" s="53"/>
      <c r="B36" s="12">
        <v>7</v>
      </c>
      <c r="C36" s="120"/>
      <c r="D36" s="120"/>
      <c r="E36" s="120">
        <v>1</v>
      </c>
      <c r="F36" s="120"/>
      <c r="G36" s="121"/>
      <c r="H36" s="120"/>
      <c r="I36" s="120"/>
      <c r="J36" s="120"/>
      <c r="K36" s="120"/>
      <c r="L36" s="120">
        <v>0.22800000000000001</v>
      </c>
      <c r="M36" s="120">
        <v>1.6838</v>
      </c>
      <c r="N36" s="12">
        <v>1026</v>
      </c>
      <c r="O36" s="19" t="s">
        <v>76</v>
      </c>
      <c r="P36" s="19" t="s">
        <v>77</v>
      </c>
      <c r="Z36" s="37" t="str">
        <f>+'%Analysis'!A38</f>
        <v>G200 HP</v>
      </c>
    </row>
    <row r="37" spans="1:28" ht="15" customHeight="1" x14ac:dyDescent="0.2">
      <c r="A37" s="53"/>
      <c r="B37" s="12">
        <v>8</v>
      </c>
      <c r="C37" s="120"/>
      <c r="D37" s="120"/>
      <c r="E37" s="120"/>
      <c r="F37" s="120">
        <v>0.54400000000000004</v>
      </c>
      <c r="G37" s="120"/>
      <c r="H37" s="120"/>
      <c r="I37" s="120"/>
      <c r="J37" s="120">
        <v>0.45600000000000002</v>
      </c>
      <c r="K37" s="120"/>
      <c r="L37" s="120">
        <v>0.1326</v>
      </c>
      <c r="M37" s="120">
        <v>1.3943000000000001</v>
      </c>
      <c r="N37" s="12">
        <v>1030</v>
      </c>
      <c r="O37" s="19">
        <f>+F37/J37</f>
        <v>1.1929824561403508</v>
      </c>
      <c r="P37" s="19">
        <f>+J37/F37</f>
        <v>0.83823529411764708</v>
      </c>
      <c r="Z37" s="37" t="str">
        <f>+'%Analysis'!A39</f>
        <v>Gerstley Borate</v>
      </c>
    </row>
    <row r="38" spans="1:28" ht="15" customHeight="1" x14ac:dyDescent="0.2">
      <c r="A38" s="53"/>
      <c r="B38" s="12">
        <v>9</v>
      </c>
      <c r="C38" s="120"/>
      <c r="D38" s="120"/>
      <c r="E38" s="120"/>
      <c r="F38" s="120"/>
      <c r="G38" s="120"/>
      <c r="H38" s="120">
        <v>1</v>
      </c>
      <c r="I38" s="120"/>
      <c r="J38" s="120"/>
      <c r="K38" s="120"/>
      <c r="L38" s="120">
        <v>0.40579999999999999</v>
      </c>
      <c r="M38" s="120">
        <v>4.0090000000000003</v>
      </c>
      <c r="N38" s="12">
        <v>1122</v>
      </c>
      <c r="Z38" s="37" t="str">
        <f>+'%Analysis'!A40</f>
        <v>Gerstley Borate - 1999</v>
      </c>
    </row>
    <row r="39" spans="1:28" ht="15" customHeight="1" x14ac:dyDescent="0.2">
      <c r="A39" s="53"/>
      <c r="B39" s="12">
        <v>10</v>
      </c>
      <c r="C39" s="120"/>
      <c r="D39" s="120"/>
      <c r="E39" s="120"/>
      <c r="F39" s="120">
        <v>1</v>
      </c>
      <c r="G39" s="120"/>
      <c r="H39" s="120"/>
      <c r="I39" s="120"/>
      <c r="J39" s="120"/>
      <c r="K39" s="120"/>
      <c r="L39" s="120">
        <v>0.34889999999999999</v>
      </c>
      <c r="M39" s="120">
        <v>2.4887999999999999</v>
      </c>
      <c r="N39" s="12">
        <v>1165</v>
      </c>
      <c r="Z39" s="37" t="str">
        <f>+'%Analysis'!A41</f>
        <v>Gillespie Borate</v>
      </c>
    </row>
    <row r="40" spans="1:28" ht="15" customHeight="1" x14ac:dyDescent="0.2">
      <c r="A40" s="53"/>
      <c r="B40" s="12">
        <v>11</v>
      </c>
      <c r="C40" s="120"/>
      <c r="D40" s="120"/>
      <c r="E40" s="120"/>
      <c r="F40" s="120"/>
      <c r="G40" s="120"/>
      <c r="H40" s="120"/>
      <c r="I40" s="120">
        <v>1</v>
      </c>
      <c r="J40" s="120"/>
      <c r="K40" s="120"/>
      <c r="L40" s="120">
        <v>0.21440000000000001</v>
      </c>
      <c r="M40" s="120">
        <v>2.8</v>
      </c>
      <c r="N40" s="12">
        <v>1176</v>
      </c>
      <c r="Z40" s="37" t="str">
        <f>+'%Analysis'!A42</f>
        <v>Goldart</v>
      </c>
    </row>
    <row r="41" spans="1:28" ht="15" customHeight="1" x14ac:dyDescent="0.2">
      <c r="A41" s="53"/>
      <c r="B41" s="12">
        <v>12</v>
      </c>
      <c r="C41" s="120"/>
      <c r="D41" s="120"/>
      <c r="E41" s="120"/>
      <c r="F41" s="120"/>
      <c r="G41" s="120">
        <v>1</v>
      </c>
      <c r="H41" s="120"/>
      <c r="I41" s="120"/>
      <c r="J41" s="120"/>
      <c r="K41" s="120"/>
      <c r="L41" s="120">
        <v>0.33739999999999998</v>
      </c>
      <c r="M41" s="120">
        <v>2.0287000000000002</v>
      </c>
      <c r="N41" s="12">
        <v>1350</v>
      </c>
      <c r="Z41" s="37" t="str">
        <f>+'%Analysis'!A43</f>
        <v>Grolleg</v>
      </c>
    </row>
    <row r="42" spans="1:28" x14ac:dyDescent="0.2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Q42" s="23"/>
      <c r="R42" s="23"/>
      <c r="Z42" s="37" t="str">
        <f>+'%Analysis'!A44</f>
        <v>K2CO3</v>
      </c>
    </row>
    <row r="43" spans="1:28" s="45" customFormat="1" ht="15" x14ac:dyDescent="0.2">
      <c r="A43" s="137"/>
      <c r="C43" s="46" t="s">
        <v>89</v>
      </c>
      <c r="D43" s="47"/>
      <c r="E43" s="44"/>
      <c r="F43" s="33"/>
      <c r="G43" s="40"/>
      <c r="H43" s="42"/>
      <c r="I43" s="19"/>
      <c r="J43" s="19"/>
      <c r="K43" s="13"/>
      <c r="L43" s="13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37" t="str">
        <f>+'%Analysis'!A45</f>
        <v>K2O</v>
      </c>
      <c r="AA43" s="19"/>
      <c r="AB43" s="19"/>
    </row>
    <row r="44" spans="1:28" s="19" customFormat="1" x14ac:dyDescent="0.2">
      <c r="A44" s="53"/>
      <c r="B44" s="21" t="s">
        <v>58</v>
      </c>
      <c r="C44" s="21" t="s">
        <v>2</v>
      </c>
      <c r="D44" s="8" t="s">
        <v>3</v>
      </c>
      <c r="E44" s="9" t="s">
        <v>4</v>
      </c>
      <c r="F44" s="21" t="s">
        <v>5</v>
      </c>
      <c r="G44" s="21" t="s">
        <v>6</v>
      </c>
      <c r="H44" s="10" t="s">
        <v>9</v>
      </c>
      <c r="I44" s="21" t="s">
        <v>7</v>
      </c>
      <c r="J44" s="21" t="s">
        <v>8</v>
      </c>
      <c r="K44" s="21" t="s">
        <v>12</v>
      </c>
      <c r="L44" s="22" t="s">
        <v>10</v>
      </c>
      <c r="M44" s="22" t="s">
        <v>13</v>
      </c>
      <c r="N44" s="21" t="s">
        <v>56</v>
      </c>
      <c r="Z44" s="37" t="str">
        <f>+'%Analysis'!A46</f>
        <v>Kaolin</v>
      </c>
    </row>
    <row r="45" spans="1:28" s="19" customFormat="1" ht="15" customHeight="1" x14ac:dyDescent="0.2">
      <c r="A45" s="53"/>
      <c r="B45" s="12">
        <v>1</v>
      </c>
      <c r="C45" s="48">
        <v>22.8</v>
      </c>
      <c r="D45" s="48"/>
      <c r="E45" s="48"/>
      <c r="F45" s="48"/>
      <c r="G45" s="48"/>
      <c r="H45" s="48"/>
      <c r="I45" s="48"/>
      <c r="J45" s="48"/>
      <c r="K45" s="48">
        <v>35.700000000000003</v>
      </c>
      <c r="L45" s="48"/>
      <c r="M45" s="48">
        <v>41.5</v>
      </c>
      <c r="N45" s="12">
        <v>630</v>
      </c>
      <c r="O45" s="52">
        <f t="shared" ref="O45:O56" si="3">SUM(C45:M45)</f>
        <v>100</v>
      </c>
      <c r="Z45" s="37" t="str">
        <f>+'%Analysis'!A47</f>
        <v>KFeld</v>
      </c>
    </row>
    <row r="46" spans="1:28" s="19" customFormat="1" ht="15" customHeight="1" x14ac:dyDescent="0.2">
      <c r="A46" s="53"/>
      <c r="B46" s="12">
        <v>2</v>
      </c>
      <c r="C46" s="48">
        <v>30.4</v>
      </c>
      <c r="D46" s="48"/>
      <c r="E46" s="48"/>
      <c r="F46" s="48"/>
      <c r="G46" s="49"/>
      <c r="H46" s="48"/>
      <c r="I46" s="48"/>
      <c r="J46" s="48"/>
      <c r="K46" s="48"/>
      <c r="L46" s="48">
        <v>3.2</v>
      </c>
      <c r="M46" s="48">
        <v>66.400000000000006</v>
      </c>
      <c r="N46" s="12">
        <v>695</v>
      </c>
      <c r="O46" s="52">
        <f t="shared" si="3"/>
        <v>100</v>
      </c>
      <c r="Z46" s="37" t="str">
        <f>+'%Analysis'!A48</f>
        <v>Kingman</v>
      </c>
    </row>
    <row r="47" spans="1:28" s="19" customFormat="1" ht="15" customHeight="1" x14ac:dyDescent="0.2">
      <c r="A47" s="53"/>
      <c r="B47" s="12">
        <v>3</v>
      </c>
      <c r="C47" s="48"/>
      <c r="D47" s="48">
        <v>26</v>
      </c>
      <c r="E47" s="48"/>
      <c r="F47" s="48"/>
      <c r="G47" s="49"/>
      <c r="H47" s="48"/>
      <c r="I47" s="48"/>
      <c r="J47" s="48"/>
      <c r="K47" s="48"/>
      <c r="L47" s="48">
        <v>12.5</v>
      </c>
      <c r="M47" s="48">
        <v>61.5</v>
      </c>
      <c r="N47" s="12">
        <v>732</v>
      </c>
      <c r="O47" s="52">
        <f t="shared" si="3"/>
        <v>100</v>
      </c>
      <c r="Z47" s="37" t="str">
        <f>+'%Analysis'!A49</f>
        <v>KonaF-4</v>
      </c>
    </row>
    <row r="48" spans="1:28" ht="15" customHeight="1" x14ac:dyDescent="0.2">
      <c r="A48" s="53"/>
      <c r="B48" s="154">
        <v>4</v>
      </c>
      <c r="C48" s="155"/>
      <c r="D48" s="155">
        <v>24.2</v>
      </c>
      <c r="E48" s="155"/>
      <c r="F48" s="155"/>
      <c r="G48" s="155"/>
      <c r="H48" s="155"/>
      <c r="I48" s="155"/>
      <c r="J48" s="155"/>
      <c r="K48" s="155">
        <v>35.200000000000003</v>
      </c>
      <c r="L48" s="155"/>
      <c r="M48" s="155">
        <v>40.6</v>
      </c>
      <c r="N48" s="154">
        <v>790</v>
      </c>
      <c r="O48" s="52">
        <f t="shared" si="3"/>
        <v>100</v>
      </c>
      <c r="Z48" s="37" t="str">
        <f>+'%Analysis'!A50</f>
        <v>Leucite</v>
      </c>
    </row>
    <row r="49" spans="1:26" ht="15" customHeight="1" x14ac:dyDescent="0.2">
      <c r="A49" s="53"/>
      <c r="B49" s="12">
        <v>5</v>
      </c>
      <c r="C49" s="155"/>
      <c r="D49" s="155"/>
      <c r="E49" s="155">
        <v>30.9</v>
      </c>
      <c r="F49" s="155"/>
      <c r="G49" s="155"/>
      <c r="H49" s="155"/>
      <c r="I49" s="155"/>
      <c r="J49" s="155"/>
      <c r="K49" s="155">
        <v>50.4</v>
      </c>
      <c r="L49" s="155"/>
      <c r="M49" s="155">
        <v>18.7</v>
      </c>
      <c r="N49" s="12">
        <v>802</v>
      </c>
      <c r="O49" s="52">
        <f t="shared" si="3"/>
        <v>100</v>
      </c>
      <c r="Z49" s="37" t="str">
        <f>+'%Analysis'!A51</f>
        <v>Li2O</v>
      </c>
    </row>
    <row r="50" spans="1:26" ht="15" customHeight="1" x14ac:dyDescent="0.2">
      <c r="A50" s="53"/>
      <c r="B50" s="12">
        <v>6</v>
      </c>
      <c r="C50" s="48"/>
      <c r="D50" s="48"/>
      <c r="E50" s="48"/>
      <c r="F50" s="48">
        <v>65.209999999999994</v>
      </c>
      <c r="G50" s="48"/>
      <c r="H50" s="48"/>
      <c r="I50" s="48"/>
      <c r="J50" s="48"/>
      <c r="K50" s="48">
        <v>34.79</v>
      </c>
      <c r="L50" s="48"/>
      <c r="M50" s="48"/>
      <c r="N50" s="12">
        <v>990</v>
      </c>
      <c r="O50" s="52">
        <f t="shared" si="3"/>
        <v>100</v>
      </c>
      <c r="Z50" s="37" t="str">
        <f>+'%Analysis'!A52</f>
        <v>LiCarb</v>
      </c>
    </row>
    <row r="51" spans="1:26" ht="15" customHeight="1" x14ac:dyDescent="0.2">
      <c r="A51" s="53"/>
      <c r="B51" s="12">
        <v>7</v>
      </c>
      <c r="C51" s="155"/>
      <c r="D51" s="155"/>
      <c r="E51" s="155">
        <v>19.366</v>
      </c>
      <c r="F51" s="155"/>
      <c r="G51" s="164"/>
      <c r="H51" s="155"/>
      <c r="I51" s="155"/>
      <c r="J51" s="155"/>
      <c r="K51" s="155"/>
      <c r="L51" s="155">
        <v>15.067</v>
      </c>
      <c r="M51" s="155">
        <v>65.566999999999993</v>
      </c>
      <c r="N51" s="12">
        <v>1026</v>
      </c>
      <c r="O51" s="52">
        <f t="shared" si="3"/>
        <v>100</v>
      </c>
      <c r="Z51" s="37" t="str">
        <f>+'%Analysis'!A53</f>
        <v>LiSilicate</v>
      </c>
    </row>
    <row r="52" spans="1:26" ht="15" customHeight="1" x14ac:dyDescent="0.2">
      <c r="A52" s="53"/>
      <c r="B52" s="154">
        <v>8</v>
      </c>
      <c r="C52" s="155"/>
      <c r="D52" s="155"/>
      <c r="E52" s="155"/>
      <c r="F52" s="155">
        <v>18.5</v>
      </c>
      <c r="G52" s="155"/>
      <c r="H52" s="155"/>
      <c r="I52" s="155"/>
      <c r="J52" s="155">
        <v>22.5</v>
      </c>
      <c r="K52" s="155"/>
      <c r="L52" s="155">
        <v>8.1999999999999993</v>
      </c>
      <c r="M52" s="155">
        <v>50.8</v>
      </c>
      <c r="N52" s="12">
        <v>1030</v>
      </c>
      <c r="O52" s="52">
        <f t="shared" si="3"/>
        <v>100</v>
      </c>
      <c r="Z52" s="37" t="str">
        <f>+'%Analysis'!A54</f>
        <v>Macaloid</v>
      </c>
    </row>
    <row r="53" spans="1:26" ht="15" customHeight="1" x14ac:dyDescent="0.2">
      <c r="A53" s="53"/>
      <c r="B53" s="12">
        <v>9</v>
      </c>
      <c r="C53" s="48"/>
      <c r="D53" s="48"/>
      <c r="E53" s="48"/>
      <c r="F53" s="48"/>
      <c r="G53" s="48"/>
      <c r="H53" s="48">
        <v>35.200000000000003</v>
      </c>
      <c r="I53" s="48"/>
      <c r="J53" s="48"/>
      <c r="K53" s="48"/>
      <c r="L53" s="48">
        <v>9.5</v>
      </c>
      <c r="M53" s="48">
        <v>55.3</v>
      </c>
      <c r="N53" s="12">
        <v>1122</v>
      </c>
      <c r="O53" s="52">
        <f t="shared" si="3"/>
        <v>100</v>
      </c>
      <c r="Z53" s="37" t="str">
        <f>+'%Analysis'!A55</f>
        <v>MgCarb</v>
      </c>
    </row>
    <row r="54" spans="1:26" ht="15" customHeight="1" x14ac:dyDescent="0.2">
      <c r="A54" s="53"/>
      <c r="B54" s="12">
        <v>10</v>
      </c>
      <c r="C54" s="48"/>
      <c r="D54" s="48"/>
      <c r="E54" s="48"/>
      <c r="F54" s="48">
        <v>23.25</v>
      </c>
      <c r="G54" s="48"/>
      <c r="H54" s="48"/>
      <c r="I54" s="48"/>
      <c r="J54" s="48"/>
      <c r="K54" s="48"/>
      <c r="L54" s="48">
        <v>14.75</v>
      </c>
      <c r="M54" s="48">
        <v>62</v>
      </c>
      <c r="N54" s="12">
        <v>1165</v>
      </c>
      <c r="O54" s="52">
        <f t="shared" si="3"/>
        <v>100</v>
      </c>
      <c r="Z54" s="37" t="str">
        <f>+'%Analysis'!A56</f>
        <v>MgO</v>
      </c>
    </row>
    <row r="55" spans="1:26" ht="15" customHeight="1" x14ac:dyDescent="0.2">
      <c r="A55" s="53"/>
      <c r="B55" s="12">
        <v>11</v>
      </c>
      <c r="C55" s="48"/>
      <c r="D55" s="48"/>
      <c r="E55" s="48"/>
      <c r="F55" s="48"/>
      <c r="G55" s="48"/>
      <c r="H55" s="48"/>
      <c r="I55" s="48">
        <v>35.277999999999999</v>
      </c>
      <c r="J55" s="48"/>
      <c r="K55" s="48"/>
      <c r="L55" s="48">
        <v>7.4429999999999996</v>
      </c>
      <c r="M55" s="48">
        <v>57.277999999999999</v>
      </c>
      <c r="N55" s="12">
        <v>1176</v>
      </c>
      <c r="O55" s="52">
        <f t="shared" si="3"/>
        <v>99.998999999999995</v>
      </c>
      <c r="Z55" s="37" t="str">
        <f>+'%Analysis'!A57</f>
        <v>Mahavir Feldspar</v>
      </c>
    </row>
    <row r="56" spans="1:26" ht="15" customHeight="1" x14ac:dyDescent="0.2">
      <c r="A56" s="53"/>
      <c r="B56" s="12">
        <v>12</v>
      </c>
      <c r="C56" s="48"/>
      <c r="D56" s="48"/>
      <c r="E56" s="48"/>
      <c r="F56" s="48"/>
      <c r="G56" s="48">
        <v>20.5</v>
      </c>
      <c r="H56" s="48"/>
      <c r="I56" s="48"/>
      <c r="J56" s="48"/>
      <c r="K56" s="48"/>
      <c r="L56" s="48">
        <v>17.5</v>
      </c>
      <c r="M56" s="48">
        <v>62</v>
      </c>
      <c r="N56" s="12">
        <v>1350</v>
      </c>
      <c r="O56" s="52">
        <f t="shared" si="3"/>
        <v>100</v>
      </c>
      <c r="Z56" s="37" t="str">
        <f>+'%Analysis'!A58</f>
        <v>Minspar 200</v>
      </c>
    </row>
    <row r="57" spans="1:26" x14ac:dyDescent="0.2">
      <c r="A57" s="5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/>
      <c r="Q57" s="23"/>
      <c r="R57" s="23"/>
      <c r="Z57" s="37" t="str">
        <f>+'%Analysis'!A59</f>
        <v>MnCarb</v>
      </c>
    </row>
    <row r="58" spans="1:26" x14ac:dyDescent="0.2">
      <c r="A58" s="5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Q58" s="23"/>
      <c r="R58" s="23"/>
      <c r="Z58" s="37" t="str">
        <f>+'%Analysis'!A60</f>
        <v>MnO2</v>
      </c>
    </row>
    <row r="59" spans="1:26" ht="13.5" thickBot="1" x14ac:dyDescent="0.25">
      <c r="A59" s="53"/>
      <c r="B59" s="37"/>
      <c r="C59" s="74" t="s">
        <v>90</v>
      </c>
      <c r="D59" s="75"/>
      <c r="E59" s="75"/>
      <c r="F59" s="75"/>
      <c r="G59" s="75"/>
      <c r="H59" s="37"/>
      <c r="I59" s="37"/>
      <c r="J59" s="37"/>
      <c r="K59" s="37"/>
      <c r="L59" s="37"/>
      <c r="M59" s="34"/>
      <c r="O59" s="143" t="s">
        <v>59</v>
      </c>
      <c r="P59" s="144"/>
      <c r="R59" s="37" t="s">
        <v>60</v>
      </c>
      <c r="S59" s="144"/>
      <c r="T59" s="77" t="s">
        <v>99</v>
      </c>
      <c r="U59" s="76"/>
      <c r="V59" s="77" t="s">
        <v>100</v>
      </c>
      <c r="W59" s="76"/>
      <c r="X59" s="77" t="s">
        <v>60</v>
      </c>
      <c r="Y59" s="77"/>
      <c r="Z59" s="37" t="str">
        <f>+'%Analysis'!A61</f>
        <v>Na2CO3</v>
      </c>
    </row>
    <row r="60" spans="1:26" x14ac:dyDescent="0.2">
      <c r="A60" s="138" t="s">
        <v>58</v>
      </c>
      <c r="B60" s="78"/>
      <c r="C60" s="79" t="s">
        <v>2</v>
      </c>
      <c r="D60" s="79" t="s">
        <v>3</v>
      </c>
      <c r="E60" s="79" t="s">
        <v>4</v>
      </c>
      <c r="F60" s="79" t="s">
        <v>5</v>
      </c>
      <c r="G60" s="79" t="s">
        <v>6</v>
      </c>
      <c r="H60" s="80" t="s">
        <v>9</v>
      </c>
      <c r="I60" s="79" t="s">
        <v>7</v>
      </c>
      <c r="J60" s="79" t="s">
        <v>8</v>
      </c>
      <c r="K60" s="79" t="s">
        <v>12</v>
      </c>
      <c r="L60" s="79" t="s">
        <v>10</v>
      </c>
      <c r="M60" s="142" t="s">
        <v>13</v>
      </c>
      <c r="N60" s="151" t="s">
        <v>12</v>
      </c>
      <c r="O60" s="145" t="s">
        <v>10</v>
      </c>
      <c r="P60" s="146" t="s">
        <v>13</v>
      </c>
      <c r="Q60" s="151" t="s">
        <v>12</v>
      </c>
      <c r="R60" s="145" t="s">
        <v>10</v>
      </c>
      <c r="S60" s="146" t="s">
        <v>13</v>
      </c>
      <c r="T60" s="150" t="s">
        <v>96</v>
      </c>
      <c r="U60" s="81" t="s">
        <v>8</v>
      </c>
      <c r="V60" s="79" t="s">
        <v>5</v>
      </c>
      <c r="W60" s="79" t="s">
        <v>8</v>
      </c>
      <c r="X60" s="79" t="s">
        <v>5</v>
      </c>
      <c r="Y60" s="79" t="s">
        <v>8</v>
      </c>
      <c r="Z60" s="37" t="str">
        <f>+'%Analysis'!A62</f>
        <v>Na2O</v>
      </c>
    </row>
    <row r="61" spans="1:26" x14ac:dyDescent="0.2">
      <c r="A61" s="138" t="s">
        <v>61</v>
      </c>
      <c r="B61" s="78"/>
      <c r="C61" s="78">
        <f>+H153</f>
        <v>0</v>
      </c>
      <c r="D61" s="78">
        <f>+I153</f>
        <v>0</v>
      </c>
      <c r="E61" s="78">
        <f>+J153</f>
        <v>0</v>
      </c>
      <c r="F61" s="78">
        <f>+K153</f>
        <v>0</v>
      </c>
      <c r="G61" s="78">
        <f>+M153</f>
        <v>0</v>
      </c>
      <c r="H61" s="78">
        <f>+O153</f>
        <v>0</v>
      </c>
      <c r="I61" s="78">
        <f>+L153</f>
        <v>0</v>
      </c>
      <c r="J61" s="78">
        <f>+N153</f>
        <v>0</v>
      </c>
      <c r="K61" s="78">
        <f>+R153</f>
        <v>0</v>
      </c>
      <c r="L61" s="78">
        <f>+P153</f>
        <v>0</v>
      </c>
      <c r="M61" s="123">
        <f>+S153</f>
        <v>0</v>
      </c>
      <c r="N61" s="166"/>
      <c r="O61" s="78"/>
      <c r="P61" s="167"/>
      <c r="Q61" s="166"/>
      <c r="R61" s="78"/>
      <c r="S61" s="167"/>
      <c r="T61" s="124"/>
      <c r="U61" s="78"/>
      <c r="V61" s="78"/>
      <c r="W61" s="78"/>
      <c r="X61" s="78"/>
      <c r="Y61" s="78"/>
      <c r="Z61" s="37" t="str">
        <f>+'%Analysis'!A63</f>
        <v>NaFeld</v>
      </c>
    </row>
    <row r="62" spans="1:26" x14ac:dyDescent="0.2">
      <c r="A62" s="138">
        <v>1</v>
      </c>
      <c r="B62" s="78" t="s">
        <v>91</v>
      </c>
      <c r="C62" s="78">
        <f>IF(AND(N62&lt;=Q62,P62&lt;=S62),C61,MIN(Q62/N62,S62/P62)*C61)</f>
        <v>0</v>
      </c>
      <c r="D62" s="78"/>
      <c r="E62" s="78"/>
      <c r="F62" s="78"/>
      <c r="G62" s="78"/>
      <c r="H62" s="78"/>
      <c r="I62" s="78"/>
      <c r="J62" s="78"/>
      <c r="K62" s="78">
        <f>C62*(K45/C45)</f>
        <v>0</v>
      </c>
      <c r="L62" s="78"/>
      <c r="M62" s="123">
        <f>C62*(M45/C45)</f>
        <v>0</v>
      </c>
      <c r="N62" s="152">
        <f>(K45/C45)*C61</f>
        <v>0</v>
      </c>
      <c r="O62" s="78"/>
      <c r="P62" s="147">
        <f>(M45/C45)*C61</f>
        <v>0</v>
      </c>
      <c r="Q62" s="152">
        <f>+K61</f>
        <v>0</v>
      </c>
      <c r="R62" s="78"/>
      <c r="S62" s="147">
        <f>M61</f>
        <v>0</v>
      </c>
      <c r="T62" s="124"/>
      <c r="U62" s="78"/>
      <c r="V62" s="78"/>
      <c r="W62" s="78"/>
      <c r="X62" s="78"/>
      <c r="Y62" s="78"/>
      <c r="Z62" s="37" t="str">
        <f>+'%Analysis'!A64</f>
        <v>NephelineSyenite</v>
      </c>
    </row>
    <row r="63" spans="1:26" x14ac:dyDescent="0.2">
      <c r="A63" s="138">
        <v>1</v>
      </c>
      <c r="B63" s="78" t="s">
        <v>92</v>
      </c>
      <c r="C63" s="78">
        <f>C61-C62</f>
        <v>0</v>
      </c>
      <c r="D63" s="78">
        <f t="shared" ref="D63:M63" si="4">D61-D62</f>
        <v>0</v>
      </c>
      <c r="E63" s="78">
        <f t="shared" si="4"/>
        <v>0</v>
      </c>
      <c r="F63" s="78">
        <f t="shared" si="4"/>
        <v>0</v>
      </c>
      <c r="G63" s="78">
        <f t="shared" si="4"/>
        <v>0</v>
      </c>
      <c r="H63" s="78">
        <f t="shared" si="4"/>
        <v>0</v>
      </c>
      <c r="I63" s="78">
        <f t="shared" si="4"/>
        <v>0</v>
      </c>
      <c r="J63" s="78">
        <f t="shared" si="4"/>
        <v>0</v>
      </c>
      <c r="K63" s="78">
        <f t="shared" si="4"/>
        <v>0</v>
      </c>
      <c r="L63" s="78">
        <f t="shared" si="4"/>
        <v>0</v>
      </c>
      <c r="M63" s="123">
        <f t="shared" si="4"/>
        <v>0</v>
      </c>
      <c r="N63" s="152"/>
      <c r="O63" s="78"/>
      <c r="P63" s="167"/>
      <c r="Q63" s="161"/>
      <c r="R63" s="157"/>
      <c r="S63" s="162"/>
      <c r="T63" s="124"/>
      <c r="U63" s="78"/>
      <c r="V63" s="78"/>
      <c r="W63" s="78"/>
      <c r="X63" s="78"/>
      <c r="Y63" s="78"/>
      <c r="Z63" s="37" t="str">
        <f>+'%Analysis'!A65</f>
        <v>NiCarb</v>
      </c>
    </row>
    <row r="64" spans="1:26" x14ac:dyDescent="0.2">
      <c r="A64" s="138">
        <v>2</v>
      </c>
      <c r="B64" s="78" t="s">
        <v>91</v>
      </c>
      <c r="C64" s="83">
        <f>IF(AND(O64&lt;=R64,P64&lt;=S64),C63,MIN(R64/O64,S64/P64)*C63)</f>
        <v>0</v>
      </c>
      <c r="D64" s="78"/>
      <c r="E64" s="78"/>
      <c r="F64" s="78"/>
      <c r="G64" s="82"/>
      <c r="H64" s="78"/>
      <c r="I64" s="78"/>
      <c r="J64" s="78"/>
      <c r="K64" s="78"/>
      <c r="L64" s="78">
        <f>(L46/C46)*C64</f>
        <v>0</v>
      </c>
      <c r="M64" s="123">
        <f>(M46/C46)*C64</f>
        <v>0</v>
      </c>
      <c r="N64" s="152"/>
      <c r="O64" s="78">
        <f>(L46/C46)*C63</f>
        <v>0</v>
      </c>
      <c r="P64" s="147">
        <f>(M46/C46)*C63</f>
        <v>0</v>
      </c>
      <c r="Q64" s="152">
        <f>+K63</f>
        <v>0</v>
      </c>
      <c r="R64" s="78">
        <f>L63</f>
        <v>0</v>
      </c>
      <c r="S64" s="147">
        <f>M63</f>
        <v>0</v>
      </c>
      <c r="T64" s="124"/>
      <c r="U64" s="78"/>
      <c r="V64" s="78"/>
      <c r="W64" s="78"/>
      <c r="X64" s="78"/>
      <c r="Y64" s="78"/>
      <c r="Z64" s="37" t="str">
        <f>+'%Analysis'!A66</f>
        <v>OldHick</v>
      </c>
    </row>
    <row r="65" spans="1:26" x14ac:dyDescent="0.2">
      <c r="A65" s="138">
        <v>2</v>
      </c>
      <c r="B65" s="78" t="s">
        <v>92</v>
      </c>
      <c r="C65" s="78">
        <f>C63-C64</f>
        <v>0</v>
      </c>
      <c r="D65" s="78">
        <f t="shared" ref="D65:M65" si="5">D63-D64</f>
        <v>0</v>
      </c>
      <c r="E65" s="78">
        <f t="shared" si="5"/>
        <v>0</v>
      </c>
      <c r="F65" s="78">
        <f t="shared" si="5"/>
        <v>0</v>
      </c>
      <c r="G65" s="78">
        <f t="shared" si="5"/>
        <v>0</v>
      </c>
      <c r="H65" s="78">
        <f t="shared" si="5"/>
        <v>0</v>
      </c>
      <c r="I65" s="78">
        <f t="shared" si="5"/>
        <v>0</v>
      </c>
      <c r="J65" s="78">
        <f t="shared" si="5"/>
        <v>0</v>
      </c>
      <c r="K65" s="78">
        <f t="shared" si="5"/>
        <v>0</v>
      </c>
      <c r="L65" s="78">
        <f t="shared" si="5"/>
        <v>0</v>
      </c>
      <c r="M65" s="123">
        <f t="shared" si="5"/>
        <v>0</v>
      </c>
      <c r="N65" s="152"/>
      <c r="O65" s="78"/>
      <c r="P65" s="147"/>
      <c r="Q65" s="152">
        <f>+K64</f>
        <v>0</v>
      </c>
      <c r="R65" s="78"/>
      <c r="S65" s="147"/>
      <c r="T65" s="124"/>
      <c r="U65" s="78"/>
      <c r="V65" s="78"/>
      <c r="W65" s="78"/>
      <c r="X65" s="78"/>
      <c r="Y65" s="78"/>
      <c r="Z65" s="37" t="str">
        <f>+'%Analysis'!A67</f>
        <v>OM4</v>
      </c>
    </row>
    <row r="66" spans="1:26" x14ac:dyDescent="0.2">
      <c r="A66" s="138">
        <v>3</v>
      </c>
      <c r="B66" s="78" t="s">
        <v>91</v>
      </c>
      <c r="C66" s="78"/>
      <c r="D66" s="83">
        <f>IF(AND(P66&lt;=S66,O66&lt;=R66),D65,MIN(S66/P66,R66/O66)*D65)</f>
        <v>0</v>
      </c>
      <c r="E66" s="78"/>
      <c r="F66" s="78"/>
      <c r="G66" s="78"/>
      <c r="H66" s="78"/>
      <c r="I66" s="78"/>
      <c r="J66" s="78"/>
      <c r="K66" s="78"/>
      <c r="L66" s="78">
        <f>D66*(L47/D47)</f>
        <v>0</v>
      </c>
      <c r="M66" s="123">
        <f>D66*(M47/D47)</f>
        <v>0</v>
      </c>
      <c r="N66" s="152"/>
      <c r="O66" s="78">
        <f>D65*(L47/D47)</f>
        <v>0</v>
      </c>
      <c r="P66" s="147">
        <f>D65*(M47/D47)</f>
        <v>0</v>
      </c>
      <c r="Q66" s="152">
        <f>+K65</f>
        <v>0</v>
      </c>
      <c r="R66" s="78">
        <f>L65</f>
        <v>0</v>
      </c>
      <c r="S66" s="147">
        <f>M65</f>
        <v>0</v>
      </c>
      <c r="T66" s="124"/>
      <c r="U66" s="78"/>
      <c r="V66" s="78"/>
      <c r="W66" s="78"/>
      <c r="X66" s="78"/>
      <c r="Y66" s="78"/>
      <c r="Z66" s="37" t="str">
        <f>+'%Analysis'!A68</f>
        <v>P2O5</v>
      </c>
    </row>
    <row r="67" spans="1:26" x14ac:dyDescent="0.2">
      <c r="A67" s="138">
        <v>3</v>
      </c>
      <c r="B67" s="78" t="s">
        <v>92</v>
      </c>
      <c r="C67" s="78">
        <f>C65-C66</f>
        <v>0</v>
      </c>
      <c r="D67" s="78">
        <f t="shared" ref="D67:M67" si="6">D65-D66</f>
        <v>0</v>
      </c>
      <c r="E67" s="78">
        <f t="shared" si="6"/>
        <v>0</v>
      </c>
      <c r="F67" s="78">
        <f t="shared" si="6"/>
        <v>0</v>
      </c>
      <c r="G67" s="78">
        <f t="shared" si="6"/>
        <v>0</v>
      </c>
      <c r="H67" s="78">
        <f t="shared" si="6"/>
        <v>0</v>
      </c>
      <c r="I67" s="78">
        <f t="shared" si="6"/>
        <v>0</v>
      </c>
      <c r="J67" s="78">
        <f t="shared" si="6"/>
        <v>0</v>
      </c>
      <c r="K67" s="78">
        <f t="shared" si="6"/>
        <v>0</v>
      </c>
      <c r="L67" s="78">
        <f t="shared" si="6"/>
        <v>0</v>
      </c>
      <c r="M67" s="123">
        <f t="shared" si="6"/>
        <v>0</v>
      </c>
      <c r="N67" s="152"/>
      <c r="O67" s="78"/>
      <c r="P67" s="147"/>
      <c r="Q67" s="152"/>
      <c r="R67" s="78"/>
      <c r="S67" s="147"/>
      <c r="T67" s="124"/>
      <c r="U67" s="78"/>
      <c r="V67" s="78"/>
      <c r="W67" s="78"/>
      <c r="X67" s="78"/>
      <c r="Y67" s="78"/>
      <c r="Z67" s="37" t="str">
        <f>+'%Analysis'!A69</f>
        <v>Petalite</v>
      </c>
    </row>
    <row r="68" spans="1:26" x14ac:dyDescent="0.2">
      <c r="A68" s="138">
        <v>4</v>
      </c>
      <c r="B68" s="78" t="s">
        <v>91</v>
      </c>
      <c r="C68" s="78"/>
      <c r="D68" s="83">
        <f>IF(AND(P68&lt;=S68,N68&lt;=Q68),D67,MIN(S68/P68,Q68/N68)*D67)</f>
        <v>0</v>
      </c>
      <c r="E68" s="78"/>
      <c r="F68" s="78"/>
      <c r="G68" s="82"/>
      <c r="H68" s="78"/>
      <c r="I68" s="78"/>
      <c r="J68" s="78"/>
      <c r="K68" s="78">
        <f>D68*(K48/D48)</f>
        <v>0</v>
      </c>
      <c r="L68" s="78"/>
      <c r="M68" s="123">
        <f>D68*(M48/D48)</f>
        <v>0</v>
      </c>
      <c r="N68" s="152">
        <f>+D67*(K48/D48)</f>
        <v>0</v>
      </c>
      <c r="O68" s="78"/>
      <c r="P68" s="147">
        <f>D67*(M48/D48)</f>
        <v>0</v>
      </c>
      <c r="Q68" s="152">
        <f>K67</f>
        <v>0</v>
      </c>
      <c r="R68" s="78"/>
      <c r="S68" s="147">
        <f>M67</f>
        <v>0</v>
      </c>
      <c r="T68" s="124"/>
      <c r="U68" s="78"/>
      <c r="V68" s="78"/>
      <c r="W68" s="78"/>
      <c r="X68" s="78"/>
      <c r="Y68" s="78"/>
      <c r="Z68" s="37" t="str">
        <f>+'%Analysis'!A70</f>
        <v>PlVit</v>
      </c>
    </row>
    <row r="69" spans="1:26" x14ac:dyDescent="0.2">
      <c r="A69" s="138">
        <v>4</v>
      </c>
      <c r="B69" s="78" t="s">
        <v>92</v>
      </c>
      <c r="C69" s="78">
        <f>C67-C68</f>
        <v>0</v>
      </c>
      <c r="D69" s="78">
        <f t="shared" ref="D69:M69" si="7">D67-D68</f>
        <v>0</v>
      </c>
      <c r="E69" s="78">
        <f t="shared" si="7"/>
        <v>0</v>
      </c>
      <c r="F69" s="78">
        <f t="shared" si="7"/>
        <v>0</v>
      </c>
      <c r="G69" s="78">
        <f t="shared" si="7"/>
        <v>0</v>
      </c>
      <c r="H69" s="78">
        <f t="shared" si="7"/>
        <v>0</v>
      </c>
      <c r="I69" s="78">
        <f t="shared" si="7"/>
        <v>0</v>
      </c>
      <c r="J69" s="78">
        <f t="shared" si="7"/>
        <v>0</v>
      </c>
      <c r="K69" s="78">
        <f t="shared" si="7"/>
        <v>0</v>
      </c>
      <c r="L69" s="78">
        <f t="shared" si="7"/>
        <v>0</v>
      </c>
      <c r="M69" s="123">
        <f t="shared" si="7"/>
        <v>0</v>
      </c>
      <c r="N69" s="152"/>
      <c r="O69" s="78"/>
      <c r="P69" s="147"/>
      <c r="Q69" s="152"/>
      <c r="R69" s="78"/>
      <c r="S69" s="147"/>
      <c r="T69" s="124"/>
      <c r="U69" s="78"/>
      <c r="V69" s="78"/>
      <c r="W69" s="78"/>
      <c r="X69" s="78"/>
      <c r="Y69" s="78"/>
      <c r="Z69" s="37" t="str">
        <f>+'%Analysis'!A71</f>
        <v>Redart</v>
      </c>
    </row>
    <row r="70" spans="1:26" x14ac:dyDescent="0.2">
      <c r="A70" s="156">
        <v>5</v>
      </c>
      <c r="B70" s="157" t="s">
        <v>91</v>
      </c>
      <c r="C70" s="158"/>
      <c r="D70" s="157"/>
      <c r="E70" s="158">
        <f>IF(AND(P70&lt;=S70,N70&lt;=Q70),E69,MIN(S70/P70,Q70/N70)*E69)</f>
        <v>0</v>
      </c>
      <c r="F70" s="157"/>
      <c r="G70" s="159"/>
      <c r="H70" s="157"/>
      <c r="I70" s="157"/>
      <c r="J70" s="157"/>
      <c r="K70" s="157">
        <f>E70*(K49/E49)</f>
        <v>0</v>
      </c>
      <c r="L70" s="157"/>
      <c r="M70" s="160">
        <f>E70*(M49/E49)</f>
        <v>0</v>
      </c>
      <c r="N70" s="152">
        <f>E69*(K49/E49)</f>
        <v>0</v>
      </c>
      <c r="O70" s="78"/>
      <c r="P70" s="147">
        <f>E69*(M49/E49)</f>
        <v>0</v>
      </c>
      <c r="Q70" s="152">
        <f>K69</f>
        <v>0</v>
      </c>
      <c r="R70" s="78"/>
      <c r="S70" s="147">
        <f>M69</f>
        <v>0</v>
      </c>
      <c r="T70" s="124"/>
      <c r="U70" s="78"/>
      <c r="V70" s="78"/>
      <c r="W70" s="78"/>
      <c r="X70" s="78"/>
      <c r="Y70" s="78"/>
      <c r="Z70" s="37" t="str">
        <f>+'%Analysis'!A72</f>
        <v>Rutile</v>
      </c>
    </row>
    <row r="71" spans="1:26" x14ac:dyDescent="0.2">
      <c r="A71" s="156">
        <v>5</v>
      </c>
      <c r="B71" s="157" t="s">
        <v>92</v>
      </c>
      <c r="C71" s="157">
        <f>C69-C70</f>
        <v>0</v>
      </c>
      <c r="D71" s="157">
        <f t="shared" ref="D71:M73" si="8">D69-D70</f>
        <v>0</v>
      </c>
      <c r="E71" s="157">
        <f t="shared" si="8"/>
        <v>0</v>
      </c>
      <c r="F71" s="157">
        <f t="shared" si="8"/>
        <v>0</v>
      </c>
      <c r="G71" s="157">
        <f t="shared" si="8"/>
        <v>0</v>
      </c>
      <c r="H71" s="157">
        <f t="shared" si="8"/>
        <v>0</v>
      </c>
      <c r="I71" s="157">
        <f t="shared" si="8"/>
        <v>0</v>
      </c>
      <c r="J71" s="157">
        <f t="shared" si="8"/>
        <v>0</v>
      </c>
      <c r="K71" s="157">
        <f t="shared" si="8"/>
        <v>0</v>
      </c>
      <c r="L71" s="157">
        <f t="shared" si="8"/>
        <v>0</v>
      </c>
      <c r="M71" s="160">
        <f t="shared" si="8"/>
        <v>0</v>
      </c>
      <c r="N71" s="161"/>
      <c r="O71" s="157"/>
      <c r="P71" s="162"/>
      <c r="Q71" s="161"/>
      <c r="R71" s="157"/>
      <c r="S71" s="162"/>
      <c r="T71" s="124"/>
      <c r="U71" s="78"/>
      <c r="V71" s="123" t="s">
        <v>91</v>
      </c>
      <c r="W71" s="124"/>
      <c r="X71" s="78"/>
      <c r="Y71" s="78"/>
      <c r="Z71" s="37" t="str">
        <f>+'%Analysis'!A73</f>
        <v>Silica</v>
      </c>
    </row>
    <row r="72" spans="1:26" x14ac:dyDescent="0.2">
      <c r="A72" s="138">
        <v>6</v>
      </c>
      <c r="B72" s="78" t="s">
        <v>91</v>
      </c>
      <c r="C72" s="78"/>
      <c r="D72" s="78"/>
      <c r="E72" s="78"/>
      <c r="F72" s="83">
        <f>IF((N72&lt;=K71),F71,(F50/K50)*K71)</f>
        <v>0</v>
      </c>
      <c r="G72" s="78"/>
      <c r="H72" s="78"/>
      <c r="I72" s="78"/>
      <c r="J72" s="78"/>
      <c r="K72" s="78">
        <f>F72*(K50/F50)</f>
        <v>0</v>
      </c>
      <c r="L72" s="78"/>
      <c r="M72" s="123"/>
      <c r="N72" s="152">
        <f>F71*(K50/F50)</f>
        <v>0</v>
      </c>
      <c r="O72" s="78"/>
      <c r="P72" s="147"/>
      <c r="Q72" s="152"/>
      <c r="R72" s="78"/>
      <c r="S72" s="162"/>
      <c r="T72" s="124"/>
      <c r="U72" s="78"/>
      <c r="V72" s="212"/>
      <c r="W72" s="213"/>
      <c r="X72" s="78"/>
      <c r="Y72" s="78"/>
      <c r="Z72" s="37" t="str">
        <f>+'%Analysis'!A74</f>
        <v>SiO2</v>
      </c>
    </row>
    <row r="73" spans="1:26" x14ac:dyDescent="0.2">
      <c r="A73" s="138">
        <v>6</v>
      </c>
      <c r="B73" s="78" t="s">
        <v>92</v>
      </c>
      <c r="C73" s="78">
        <f>C71-C72</f>
        <v>0</v>
      </c>
      <c r="D73" s="78">
        <f t="shared" si="8"/>
        <v>0</v>
      </c>
      <c r="E73" s="78">
        <f t="shared" si="8"/>
        <v>0</v>
      </c>
      <c r="F73" s="78">
        <f t="shared" si="8"/>
        <v>0</v>
      </c>
      <c r="G73" s="78">
        <f t="shared" si="8"/>
        <v>0</v>
      </c>
      <c r="H73" s="78">
        <f t="shared" si="8"/>
        <v>0</v>
      </c>
      <c r="I73" s="78">
        <f t="shared" si="8"/>
        <v>0</v>
      </c>
      <c r="J73" s="78">
        <f t="shared" si="8"/>
        <v>0</v>
      </c>
      <c r="K73" s="78">
        <f t="shared" si="8"/>
        <v>0</v>
      </c>
      <c r="L73" s="78">
        <f t="shared" si="8"/>
        <v>0</v>
      </c>
      <c r="M73" s="123">
        <f t="shared" si="8"/>
        <v>0</v>
      </c>
      <c r="N73" s="152"/>
      <c r="O73" s="78"/>
      <c r="P73" s="147"/>
      <c r="Q73" s="152"/>
      <c r="R73" s="78"/>
      <c r="S73" s="162"/>
      <c r="T73" s="124"/>
      <c r="U73" s="78"/>
      <c r="V73" s="212"/>
      <c r="W73" s="213"/>
      <c r="X73" s="78"/>
      <c r="Y73" s="78"/>
      <c r="Z73" s="37" t="str">
        <f>+'%Analysis'!A75</f>
        <v>Spodumene</v>
      </c>
    </row>
    <row r="74" spans="1:26" x14ac:dyDescent="0.2">
      <c r="A74" s="138">
        <v>7</v>
      </c>
      <c r="B74" s="157" t="s">
        <v>91</v>
      </c>
      <c r="C74" s="157"/>
      <c r="D74" s="157"/>
      <c r="E74" s="158">
        <f>IF(AND(O74&lt;=R74,P74&lt;=S74),E71,(MIN(R74/O74,S74/P74)*E71))</f>
        <v>0</v>
      </c>
      <c r="F74" s="157"/>
      <c r="G74" s="159"/>
      <c r="H74" s="157"/>
      <c r="I74" s="157"/>
      <c r="J74" s="157"/>
      <c r="K74" s="157"/>
      <c r="L74" s="158">
        <f>E74*(L51/E51)</f>
        <v>0</v>
      </c>
      <c r="M74" s="163">
        <f>E74*(M51/E51)</f>
        <v>0</v>
      </c>
      <c r="N74" s="161"/>
      <c r="O74" s="157">
        <f>E71*(L51/E51)</f>
        <v>0</v>
      </c>
      <c r="P74" s="162">
        <f>E71*(M51/E51)</f>
        <v>0</v>
      </c>
      <c r="Q74" s="161"/>
      <c r="R74" s="157">
        <f>L71</f>
        <v>0</v>
      </c>
      <c r="S74" s="162">
        <f>M71</f>
        <v>0</v>
      </c>
      <c r="T74" s="124" t="s">
        <v>95</v>
      </c>
      <c r="U74" s="78" t="s">
        <v>94</v>
      </c>
      <c r="V74" s="140" t="s">
        <v>97</v>
      </c>
      <c r="W74" s="125"/>
      <c r="X74" s="78"/>
      <c r="Y74" s="78"/>
      <c r="Z74" s="37" t="str">
        <f>+'%Analysis'!A76</f>
        <v>SrCarb</v>
      </c>
    </row>
    <row r="75" spans="1:26" x14ac:dyDescent="0.2">
      <c r="A75" s="138">
        <v>7</v>
      </c>
      <c r="B75" s="157" t="s">
        <v>92</v>
      </c>
      <c r="C75" s="78">
        <f t="shared" ref="C75:M77" si="9">C73-C74</f>
        <v>0</v>
      </c>
      <c r="D75" s="78">
        <f t="shared" si="9"/>
        <v>0</v>
      </c>
      <c r="E75" s="78">
        <f t="shared" si="9"/>
        <v>0</v>
      </c>
      <c r="F75" s="78">
        <f t="shared" si="9"/>
        <v>0</v>
      </c>
      <c r="G75" s="78">
        <f t="shared" si="9"/>
        <v>0</v>
      </c>
      <c r="H75" s="78">
        <f t="shared" si="9"/>
        <v>0</v>
      </c>
      <c r="I75" s="78">
        <f t="shared" si="9"/>
        <v>0</v>
      </c>
      <c r="J75" s="78">
        <f t="shared" si="9"/>
        <v>0</v>
      </c>
      <c r="K75" s="78">
        <f t="shared" si="9"/>
        <v>0</v>
      </c>
      <c r="L75" s="78">
        <f t="shared" si="9"/>
        <v>0</v>
      </c>
      <c r="M75" s="78">
        <f t="shared" si="9"/>
        <v>0</v>
      </c>
      <c r="N75" s="161"/>
      <c r="O75" s="157"/>
      <c r="P75" s="162"/>
      <c r="Q75" s="161"/>
      <c r="R75" s="157">
        <f>L75</f>
        <v>0</v>
      </c>
      <c r="S75" s="162">
        <f>M75</f>
        <v>0</v>
      </c>
      <c r="T75" s="124" t="s">
        <v>93</v>
      </c>
      <c r="U75" s="78" t="s">
        <v>93</v>
      </c>
      <c r="V75" s="141" t="s">
        <v>98</v>
      </c>
      <c r="W75" s="122"/>
      <c r="X75" s="78"/>
      <c r="Y75" s="78"/>
      <c r="Z75" s="37" t="str">
        <f>+'%Analysis'!A77</f>
        <v>SrO</v>
      </c>
    </row>
    <row r="76" spans="1:26" x14ac:dyDescent="0.2">
      <c r="A76" s="138">
        <v>8</v>
      </c>
      <c r="B76" s="78" t="s">
        <v>91</v>
      </c>
      <c r="C76" s="78"/>
      <c r="D76" s="78"/>
      <c r="E76" s="83"/>
      <c r="F76" s="83">
        <f>IF(U76=0,0,IF(AND(O76&lt;=R76,P76&lt;=S76),V76,(MIN(R76/O76,S76/P76)*V76)))</f>
        <v>0</v>
      </c>
      <c r="G76" s="82"/>
      <c r="H76" s="78"/>
      <c r="I76" s="78"/>
      <c r="J76" s="83">
        <f>IF(U76=0,0,IF(AND(O76&lt;R76,P76&lt;S76),W76,(MIN(R76/O76,S76/P76)*W76)))</f>
        <v>0</v>
      </c>
      <c r="K76" s="83"/>
      <c r="L76" s="78">
        <f>J76*(L52/J52)</f>
        <v>0</v>
      </c>
      <c r="M76" s="123">
        <f>J76*(M52/J52)</f>
        <v>0</v>
      </c>
      <c r="N76" s="152"/>
      <c r="O76" s="78">
        <f>V76*(L52/F52)</f>
        <v>0</v>
      </c>
      <c r="P76" s="147">
        <f>V76*(M52/F52)</f>
        <v>0</v>
      </c>
      <c r="Q76" s="152"/>
      <c r="R76" s="78">
        <f>R75</f>
        <v>0</v>
      </c>
      <c r="S76" s="147">
        <f>S75</f>
        <v>0</v>
      </c>
      <c r="T76" s="124">
        <f>F52/J52</f>
        <v>0.82222222222222219</v>
      </c>
      <c r="U76" s="78">
        <f>IF(OR(J61=0,F61=0),0,F75/J75)</f>
        <v>0</v>
      </c>
      <c r="V76" s="78">
        <f>IF(U76&lt;T76,F75,(J75*T76))</f>
        <v>0</v>
      </c>
      <c r="W76" s="78">
        <f>IF(U76&gt;T76,J75,F75/T76)</f>
        <v>0</v>
      </c>
      <c r="X76" s="78"/>
      <c r="Y76" s="78"/>
      <c r="Z76" s="37" t="str">
        <f>+'%Analysis'!A78</f>
        <v>Superpax</v>
      </c>
    </row>
    <row r="77" spans="1:26" x14ac:dyDescent="0.2">
      <c r="A77" s="138">
        <v>8</v>
      </c>
      <c r="B77" s="78" t="s">
        <v>92</v>
      </c>
      <c r="C77" s="78">
        <f t="shared" si="9"/>
        <v>0</v>
      </c>
      <c r="D77" s="78">
        <f t="shared" si="9"/>
        <v>0</v>
      </c>
      <c r="E77" s="78">
        <f t="shared" si="9"/>
        <v>0</v>
      </c>
      <c r="F77" s="78">
        <f t="shared" si="9"/>
        <v>0</v>
      </c>
      <c r="G77" s="78">
        <f t="shared" si="9"/>
        <v>0</v>
      </c>
      <c r="H77" s="78">
        <f t="shared" si="9"/>
        <v>0</v>
      </c>
      <c r="I77" s="78">
        <f t="shared" si="9"/>
        <v>0</v>
      </c>
      <c r="J77" s="78">
        <f>J75-J76</f>
        <v>0</v>
      </c>
      <c r="K77" s="78">
        <f>K75-K76</f>
        <v>0</v>
      </c>
      <c r="L77" s="78">
        <f>L75-L76</f>
        <v>0</v>
      </c>
      <c r="M77" s="123">
        <f>M75-M76</f>
        <v>0</v>
      </c>
      <c r="N77" s="152"/>
      <c r="O77" s="78"/>
      <c r="P77" s="147"/>
      <c r="Q77" s="152"/>
      <c r="R77" s="78">
        <f>L77</f>
        <v>0</v>
      </c>
      <c r="S77" s="147">
        <f>M77</f>
        <v>0</v>
      </c>
      <c r="T77" s="124"/>
      <c r="U77" s="78"/>
      <c r="V77" s="78"/>
      <c r="W77" s="78"/>
      <c r="X77" s="78"/>
      <c r="Y77" s="78"/>
      <c r="Z77" s="37" t="str">
        <f>+'%Analysis'!A79</f>
        <v>Talc - NYTAL</v>
      </c>
    </row>
    <row r="78" spans="1:26" x14ac:dyDescent="0.2">
      <c r="A78" s="138">
        <v>9</v>
      </c>
      <c r="B78" s="78" t="s">
        <v>91</v>
      </c>
      <c r="C78" s="78"/>
      <c r="D78" s="78"/>
      <c r="E78" s="78"/>
      <c r="G78" s="82"/>
      <c r="H78" s="83">
        <f>IF(AND(O78&lt;=R78,P78&lt;=S78),H77,MIN(R78/O78,S78/P78)*H77)</f>
        <v>0</v>
      </c>
      <c r="I78" s="78"/>
      <c r="J78" s="78"/>
      <c r="K78" s="78"/>
      <c r="L78" s="78">
        <f>H78*(L53/H53)</f>
        <v>0</v>
      </c>
      <c r="M78" s="123">
        <f>H78*(M53/H53)</f>
        <v>0</v>
      </c>
      <c r="N78" s="152"/>
      <c r="O78" s="78">
        <f>H77*(L53/H53)</f>
        <v>0</v>
      </c>
      <c r="P78" s="147">
        <f>H77*(M53/H53)</f>
        <v>0</v>
      </c>
      <c r="Q78" s="152"/>
      <c r="R78" s="78">
        <f>R77</f>
        <v>0</v>
      </c>
      <c r="S78" s="147">
        <f>S77</f>
        <v>0</v>
      </c>
      <c r="T78" s="124"/>
      <c r="U78" s="78"/>
      <c r="V78" s="78"/>
      <c r="W78" s="78"/>
      <c r="X78" s="78"/>
      <c r="Y78" s="78"/>
      <c r="Z78" s="37" t="str">
        <f>+'%Analysis'!A80</f>
        <v>Talc - Texas</v>
      </c>
    </row>
    <row r="79" spans="1:26" x14ac:dyDescent="0.2">
      <c r="A79" s="138">
        <v>9</v>
      </c>
      <c r="B79" s="78" t="s">
        <v>92</v>
      </c>
      <c r="C79" s="78">
        <f t="shared" ref="C79:I79" si="10">C77-C78</f>
        <v>0</v>
      </c>
      <c r="D79" s="78">
        <f t="shared" si="10"/>
        <v>0</v>
      </c>
      <c r="E79" s="78">
        <f t="shared" si="10"/>
        <v>0</v>
      </c>
      <c r="F79" s="78">
        <f t="shared" si="10"/>
        <v>0</v>
      </c>
      <c r="G79" s="78">
        <f t="shared" si="10"/>
        <v>0</v>
      </c>
      <c r="H79" s="78">
        <f t="shared" si="10"/>
        <v>0</v>
      </c>
      <c r="I79" s="78">
        <f t="shared" si="10"/>
        <v>0</v>
      </c>
      <c r="J79" s="78">
        <f>J77-J78</f>
        <v>0</v>
      </c>
      <c r="K79" s="78">
        <f>K77-K78</f>
        <v>0</v>
      </c>
      <c r="L79" s="78">
        <f>L77-L78</f>
        <v>0</v>
      </c>
      <c r="M79" s="123">
        <f>M77-M78</f>
        <v>0</v>
      </c>
      <c r="N79" s="152"/>
      <c r="O79" s="78"/>
      <c r="P79" s="147"/>
      <c r="Q79" s="152"/>
      <c r="R79" s="78"/>
      <c r="S79" s="147"/>
      <c r="T79" s="124"/>
      <c r="U79" s="78"/>
      <c r="V79" s="78"/>
      <c r="W79" s="78"/>
      <c r="X79" s="78"/>
      <c r="Y79" s="78"/>
      <c r="Z79" s="37" t="str">
        <f>+'%Analysis'!A81</f>
        <v>TinOxide</v>
      </c>
    </row>
    <row r="80" spans="1:26" x14ac:dyDescent="0.2">
      <c r="A80" s="156">
        <v>10</v>
      </c>
      <c r="B80" s="78" t="s">
        <v>91</v>
      </c>
      <c r="C80" s="78"/>
      <c r="D80" s="78"/>
      <c r="E80" s="78"/>
      <c r="F80" s="158">
        <f>IF(AND(P80&lt;=S80,O80&lt;=R80),F79,MIN(S80/P80,R80/O80)*F79)</f>
        <v>0</v>
      </c>
      <c r="G80" s="82"/>
      <c r="H80" s="78"/>
      <c r="I80" s="78"/>
      <c r="J80" s="78"/>
      <c r="K80" s="78"/>
      <c r="L80" s="78">
        <f>F80*(L54/F54)</f>
        <v>0</v>
      </c>
      <c r="M80" s="123">
        <f>F80*(M54/F54)</f>
        <v>0</v>
      </c>
      <c r="N80" s="152"/>
      <c r="O80" s="78">
        <f>F79*(L54/F54)</f>
        <v>0</v>
      </c>
      <c r="P80" s="147">
        <f>F79*(M54/F54)</f>
        <v>0</v>
      </c>
      <c r="Q80" s="152"/>
      <c r="R80" s="78">
        <f>L79</f>
        <v>0</v>
      </c>
      <c r="S80" s="147">
        <f>M79</f>
        <v>0</v>
      </c>
      <c r="T80" s="124"/>
      <c r="U80" s="78"/>
      <c r="V80" s="78"/>
      <c r="W80" s="78"/>
      <c r="X80" s="78"/>
      <c r="Y80" s="78"/>
      <c r="Z80" s="37" t="str">
        <f>+'%Analysis'!A82</f>
        <v>TiO2</v>
      </c>
    </row>
    <row r="81" spans="1:26" x14ac:dyDescent="0.2">
      <c r="A81" s="156">
        <v>10</v>
      </c>
      <c r="B81" s="78" t="s">
        <v>92</v>
      </c>
      <c r="C81" s="78">
        <f>C79-C80</f>
        <v>0</v>
      </c>
      <c r="D81" s="78">
        <f t="shared" ref="D81:M81" si="11">D79-D80</f>
        <v>0</v>
      </c>
      <c r="E81" s="78">
        <f t="shared" si="11"/>
        <v>0</v>
      </c>
      <c r="F81" s="78">
        <f t="shared" si="11"/>
        <v>0</v>
      </c>
      <c r="G81" s="78">
        <f t="shared" si="11"/>
        <v>0</v>
      </c>
      <c r="H81" s="78">
        <f t="shared" si="11"/>
        <v>0</v>
      </c>
      <c r="I81" s="78">
        <f t="shared" si="11"/>
        <v>0</v>
      </c>
      <c r="J81" s="78">
        <f t="shared" si="11"/>
        <v>0</v>
      </c>
      <c r="K81" s="78">
        <f t="shared" si="11"/>
        <v>0</v>
      </c>
      <c r="L81" s="78">
        <f t="shared" si="11"/>
        <v>0</v>
      </c>
      <c r="M81" s="123">
        <f t="shared" si="11"/>
        <v>0</v>
      </c>
      <c r="N81" s="152"/>
      <c r="O81" s="78"/>
      <c r="P81" s="147"/>
      <c r="Q81" s="152"/>
      <c r="R81" s="78">
        <f>L81</f>
        <v>0</v>
      </c>
      <c r="S81" s="147">
        <f>M81</f>
        <v>0</v>
      </c>
      <c r="T81" s="124"/>
      <c r="U81" s="78"/>
      <c r="V81" s="78"/>
      <c r="W81" s="78"/>
      <c r="X81" s="78"/>
      <c r="Y81" s="78"/>
      <c r="Z81" s="37" t="str">
        <f>+'%Analysis'!A83</f>
        <v>Ultrox</v>
      </c>
    </row>
    <row r="82" spans="1:26" x14ac:dyDescent="0.2">
      <c r="A82" s="138">
        <v>11</v>
      </c>
      <c r="B82" s="78" t="s">
        <v>91</v>
      </c>
      <c r="C82" s="78"/>
      <c r="D82" s="78"/>
      <c r="E82" s="78"/>
      <c r="F82" s="78"/>
      <c r="G82" s="82"/>
      <c r="H82" s="78"/>
      <c r="I82" s="83">
        <f>IF(J2=TRUE,IF(AND(O82&lt;=R82,P82&lt;=S82),I81,MIN(R82/O82,S82/P82)*I81),0)</f>
        <v>0</v>
      </c>
      <c r="J82" s="78"/>
      <c r="K82" s="78"/>
      <c r="L82" s="78">
        <f>I82*(L55/I55)</f>
        <v>0</v>
      </c>
      <c r="M82" s="123">
        <f>I82*(M55/I55)</f>
        <v>0</v>
      </c>
      <c r="N82" s="152"/>
      <c r="O82" s="78">
        <f>I81*(L55/I55)</f>
        <v>0</v>
      </c>
      <c r="P82" s="147">
        <f>I81*(M55/I55)</f>
        <v>0</v>
      </c>
      <c r="Q82" s="152"/>
      <c r="R82" s="78">
        <f>R81</f>
        <v>0</v>
      </c>
      <c r="S82" s="147">
        <f>S81</f>
        <v>0</v>
      </c>
      <c r="T82" s="124"/>
      <c r="U82" s="78"/>
      <c r="V82" s="78"/>
      <c r="W82" s="78"/>
      <c r="X82" s="78"/>
      <c r="Y82" s="78"/>
      <c r="Z82" s="37" t="str">
        <f>+'%Analysis'!A84</f>
        <v>Veegum</v>
      </c>
    </row>
    <row r="83" spans="1:26" x14ac:dyDescent="0.2">
      <c r="A83" s="138">
        <v>11</v>
      </c>
      <c r="B83" s="78" t="s">
        <v>92</v>
      </c>
      <c r="C83" s="78">
        <f>C81-C82</f>
        <v>0</v>
      </c>
      <c r="D83" s="78">
        <f t="shared" ref="D83:M83" si="12">D81-D82</f>
        <v>0</v>
      </c>
      <c r="E83" s="78">
        <f t="shared" si="12"/>
        <v>0</v>
      </c>
      <c r="F83" s="78">
        <f t="shared" si="12"/>
        <v>0</v>
      </c>
      <c r="G83" s="78">
        <f t="shared" si="12"/>
        <v>0</v>
      </c>
      <c r="H83" s="78">
        <f t="shared" si="12"/>
        <v>0</v>
      </c>
      <c r="I83" s="78">
        <f t="shared" si="12"/>
        <v>0</v>
      </c>
      <c r="J83" s="78">
        <f t="shared" si="12"/>
        <v>0</v>
      </c>
      <c r="K83" s="78">
        <f t="shared" si="12"/>
        <v>0</v>
      </c>
      <c r="L83" s="78">
        <f t="shared" si="12"/>
        <v>0</v>
      </c>
      <c r="M83" s="123">
        <f t="shared" si="12"/>
        <v>0</v>
      </c>
      <c r="N83" s="152"/>
      <c r="O83" s="78"/>
      <c r="P83" s="147"/>
      <c r="Q83" s="152"/>
      <c r="R83" s="78">
        <f>L83</f>
        <v>0</v>
      </c>
      <c r="S83" s="147">
        <f>M83</f>
        <v>0</v>
      </c>
      <c r="T83" s="124"/>
      <c r="U83" s="78"/>
      <c r="V83" s="78"/>
      <c r="W83" s="78"/>
      <c r="X83" s="78"/>
      <c r="Y83" s="78"/>
      <c r="Z83" s="37" t="str">
        <f>+'%Analysis'!A85</f>
        <v>VolAsh</v>
      </c>
    </row>
    <row r="84" spans="1:26" x14ac:dyDescent="0.2">
      <c r="A84" s="138">
        <v>12</v>
      </c>
      <c r="B84" s="78" t="s">
        <v>91</v>
      </c>
      <c r="C84" s="78"/>
      <c r="D84" s="78"/>
      <c r="E84" s="78"/>
      <c r="F84" s="78"/>
      <c r="G84" s="83">
        <f>IF(M2=TRUE,IF(AND(O84&lt;=R84,P84&lt;=S84),G83,MIN(R84/O84,S84/P84)*G83),0)</f>
        <v>0</v>
      </c>
      <c r="H84" s="78"/>
      <c r="I84" s="78"/>
      <c r="J84" s="78"/>
      <c r="K84" s="78"/>
      <c r="L84" s="78">
        <f>G84*(L56/G56)</f>
        <v>0</v>
      </c>
      <c r="M84" s="123">
        <f>G84*(M56/G56)</f>
        <v>0</v>
      </c>
      <c r="N84" s="152"/>
      <c r="O84" s="78">
        <f>G83*(L56/G56)</f>
        <v>0</v>
      </c>
      <c r="P84" s="147">
        <f>G83*(M56/G56)</f>
        <v>0</v>
      </c>
      <c r="Q84" s="152"/>
      <c r="R84" s="78">
        <f>R83</f>
        <v>0</v>
      </c>
      <c r="S84" s="147">
        <f>S83</f>
        <v>0</v>
      </c>
      <c r="T84" s="124"/>
      <c r="U84" s="78"/>
      <c r="V84" s="78"/>
      <c r="W84" s="78"/>
      <c r="X84" s="78"/>
      <c r="Y84" s="78"/>
      <c r="Z84" s="37" t="str">
        <f>+'%Analysis'!A86</f>
        <v>Westex Talc</v>
      </c>
    </row>
    <row r="85" spans="1:26" ht="13.5" thickBot="1" x14ac:dyDescent="0.25">
      <c r="A85" s="138">
        <v>12</v>
      </c>
      <c r="B85" s="78" t="s">
        <v>92</v>
      </c>
      <c r="C85" s="78">
        <f>C83-C84</f>
        <v>0</v>
      </c>
      <c r="D85" s="78">
        <f t="shared" ref="D85:M85" si="13">D83-D84</f>
        <v>0</v>
      </c>
      <c r="E85" s="78">
        <f t="shared" si="13"/>
        <v>0</v>
      </c>
      <c r="F85" s="78">
        <f t="shared" si="13"/>
        <v>0</v>
      </c>
      <c r="G85" s="78">
        <f t="shared" si="13"/>
        <v>0</v>
      </c>
      <c r="H85" s="78">
        <f t="shared" si="13"/>
        <v>0</v>
      </c>
      <c r="I85" s="78">
        <f t="shared" si="13"/>
        <v>0</v>
      </c>
      <c r="J85" s="78">
        <f t="shared" si="13"/>
        <v>0</v>
      </c>
      <c r="K85" s="78">
        <f t="shared" si="13"/>
        <v>0</v>
      </c>
      <c r="L85" s="78">
        <f t="shared" si="13"/>
        <v>0</v>
      </c>
      <c r="M85" s="123">
        <f t="shared" si="13"/>
        <v>0</v>
      </c>
      <c r="N85" s="153"/>
      <c r="O85" s="148"/>
      <c r="P85" s="149"/>
      <c r="Q85" s="153"/>
      <c r="R85" s="148"/>
      <c r="S85" s="149"/>
      <c r="T85" s="124"/>
      <c r="U85" s="78"/>
      <c r="V85" s="78"/>
      <c r="W85" s="78"/>
      <c r="X85" s="78"/>
      <c r="Y85" s="78"/>
      <c r="Z85" s="37" t="str">
        <f>+'%Analysis'!A87</f>
        <v>Whiting</v>
      </c>
    </row>
    <row r="86" spans="1:26" x14ac:dyDescent="0.2">
      <c r="A86" s="53"/>
      <c r="B86" s="38" t="s">
        <v>101</v>
      </c>
      <c r="C86" s="38">
        <f t="shared" ref="C86:K86" si="14">C61-C85</f>
        <v>0</v>
      </c>
      <c r="D86" s="38">
        <f t="shared" si="14"/>
        <v>0</v>
      </c>
      <c r="E86" s="38">
        <f t="shared" si="14"/>
        <v>0</v>
      </c>
      <c r="F86" s="38">
        <f t="shared" si="14"/>
        <v>0</v>
      </c>
      <c r="G86" s="38">
        <f t="shared" si="14"/>
        <v>0</v>
      </c>
      <c r="H86" s="38">
        <f t="shared" si="14"/>
        <v>0</v>
      </c>
      <c r="I86" s="38">
        <f t="shared" si="14"/>
        <v>0</v>
      </c>
      <c r="J86" s="38">
        <f>J61-J85</f>
        <v>0</v>
      </c>
      <c r="K86" s="38">
        <f t="shared" si="14"/>
        <v>0</v>
      </c>
      <c r="L86" s="38">
        <f>L61-L85</f>
        <v>0</v>
      </c>
      <c r="M86" s="38">
        <f>M61-M85</f>
        <v>0</v>
      </c>
      <c r="O86" s="37"/>
      <c r="P86" s="37"/>
      <c r="R86" s="37"/>
      <c r="S86" s="37"/>
      <c r="T86" s="77"/>
      <c r="U86" s="77"/>
      <c r="V86" s="37"/>
      <c r="W86" s="37"/>
      <c r="X86" s="37"/>
      <c r="Y86" s="37"/>
      <c r="Z86" s="37" t="str">
        <f>+'%Analysis'!A88</f>
        <v>Wollastonite</v>
      </c>
    </row>
    <row r="87" spans="1:26" x14ac:dyDescent="0.2">
      <c r="A87" s="53"/>
      <c r="B87" s="38" t="s">
        <v>43</v>
      </c>
      <c r="C87" s="75">
        <v>94.195999999999998</v>
      </c>
      <c r="D87" s="75">
        <v>61.978999999999999</v>
      </c>
      <c r="E87" s="75">
        <v>29.881</v>
      </c>
      <c r="F87" s="75">
        <v>56.076999999999998</v>
      </c>
      <c r="G87" s="75">
        <v>40.304000000000002</v>
      </c>
      <c r="H87" s="75">
        <v>153.32599999999999</v>
      </c>
      <c r="I87" s="75">
        <v>103.619</v>
      </c>
      <c r="J87" s="75">
        <v>81.379000000000005</v>
      </c>
      <c r="K87" s="75">
        <v>69.62</v>
      </c>
      <c r="L87" s="75">
        <v>101.961</v>
      </c>
      <c r="M87" s="75">
        <v>60.084000000000003</v>
      </c>
      <c r="O87" s="84"/>
      <c r="P87" s="37"/>
      <c r="R87" s="37"/>
      <c r="S87" s="37"/>
      <c r="T87" s="77"/>
      <c r="U87" s="77"/>
      <c r="V87" s="37"/>
      <c r="W87" s="37"/>
      <c r="X87" s="37"/>
      <c r="Y87" s="37"/>
      <c r="Z87" s="37" t="str">
        <f>+'%Analysis'!A89</f>
        <v>Yellow Ochre</v>
      </c>
    </row>
    <row r="88" spans="1:26" x14ac:dyDescent="0.2">
      <c r="A88" s="53"/>
      <c r="B88" s="85">
        <f>SUM(C88:J88)</f>
        <v>0</v>
      </c>
      <c r="C88" s="75">
        <f>C86/C87</f>
        <v>0</v>
      </c>
      <c r="D88" s="75">
        <f>D86/D87</f>
        <v>0</v>
      </c>
      <c r="E88" s="75">
        <f>E86/E87</f>
        <v>0</v>
      </c>
      <c r="F88" s="75">
        <f>F86/F87</f>
        <v>0</v>
      </c>
      <c r="G88" s="75">
        <f>IF(M2=TRUE,G86/G87,0)</f>
        <v>0</v>
      </c>
      <c r="H88" s="75">
        <f>H86/H87</f>
        <v>0</v>
      </c>
      <c r="I88" s="75">
        <f>IF(J2=TRUE,I86/I87,0)</f>
        <v>0</v>
      </c>
      <c r="J88" s="75">
        <f>J86/J87</f>
        <v>0</v>
      </c>
      <c r="K88" s="75">
        <f>K86/K87</f>
        <v>0</v>
      </c>
      <c r="L88" s="75">
        <f>L86/L87</f>
        <v>0</v>
      </c>
      <c r="M88" s="75">
        <f>M86/M87</f>
        <v>0</v>
      </c>
      <c r="O88" s="37"/>
      <c r="P88" s="37"/>
      <c r="R88" s="37"/>
      <c r="S88" s="38"/>
      <c r="T88" s="77"/>
      <c r="U88" s="77"/>
      <c r="V88" s="37" t="e">
        <f>V76/W76</f>
        <v>#DIV/0!</v>
      </c>
      <c r="W88" s="37"/>
      <c r="X88" s="37"/>
      <c r="Y88" s="37"/>
      <c r="Z88" s="37" t="str">
        <f>+'%Analysis'!A90</f>
        <v>Zircopax</v>
      </c>
    </row>
    <row r="89" spans="1:26" x14ac:dyDescent="0.2">
      <c r="A89" s="53"/>
      <c r="B89" s="38" t="s">
        <v>101</v>
      </c>
      <c r="C89" s="86" t="e">
        <f t="shared" ref="C89:J89" si="15">C88/$B$88</f>
        <v>#DIV/0!</v>
      </c>
      <c r="D89" s="86" t="e">
        <f t="shared" si="15"/>
        <v>#DIV/0!</v>
      </c>
      <c r="E89" s="86" t="e">
        <f t="shared" si="15"/>
        <v>#DIV/0!</v>
      </c>
      <c r="F89" s="86" t="e">
        <f t="shared" si="15"/>
        <v>#DIV/0!</v>
      </c>
      <c r="G89" s="86" t="e">
        <f t="shared" si="15"/>
        <v>#DIV/0!</v>
      </c>
      <c r="H89" s="86" t="e">
        <f t="shared" si="15"/>
        <v>#DIV/0!</v>
      </c>
      <c r="I89" s="86" t="e">
        <f t="shared" si="15"/>
        <v>#DIV/0!</v>
      </c>
      <c r="J89" s="86" t="e">
        <f t="shared" si="15"/>
        <v>#DIV/0!</v>
      </c>
      <c r="K89" s="86" t="e">
        <f>K88/$B$88</f>
        <v>#DIV/0!</v>
      </c>
      <c r="L89" s="86" t="e">
        <f>L88/$B$88</f>
        <v>#DIV/0!</v>
      </c>
      <c r="M89" s="86" t="e">
        <f>M88/$B$88</f>
        <v>#DIV/0!</v>
      </c>
      <c r="O89" s="37"/>
      <c r="P89" s="37"/>
      <c r="R89" s="37"/>
      <c r="S89" s="38"/>
      <c r="T89" s="77"/>
      <c r="U89" s="77"/>
      <c r="V89" s="37"/>
      <c r="W89" s="37"/>
      <c r="X89" s="37"/>
      <c r="Y89" s="37"/>
      <c r="Z89" s="37" t="str">
        <f>+'%Analysis'!A91</f>
        <v>ZnO</v>
      </c>
    </row>
    <row r="90" spans="1:26" x14ac:dyDescent="0.2">
      <c r="A90" s="53"/>
      <c r="B90" s="38" t="s">
        <v>88</v>
      </c>
      <c r="C90" s="86" t="e">
        <f t="shared" ref="C90:I90" si="16">(C85/C87)/$B$88</f>
        <v>#DIV/0!</v>
      </c>
      <c r="D90" s="86" t="e">
        <f t="shared" si="16"/>
        <v>#DIV/0!</v>
      </c>
      <c r="E90" s="86" t="e">
        <f t="shared" si="16"/>
        <v>#DIV/0!</v>
      </c>
      <c r="F90" s="86" t="e">
        <f t="shared" si="16"/>
        <v>#DIV/0!</v>
      </c>
      <c r="G90" s="86" t="e">
        <f t="shared" si="16"/>
        <v>#DIV/0!</v>
      </c>
      <c r="H90" s="86" t="e">
        <f t="shared" si="16"/>
        <v>#DIV/0!</v>
      </c>
      <c r="I90" s="86" t="e">
        <f t="shared" si="16"/>
        <v>#DIV/0!</v>
      </c>
      <c r="J90" s="86" t="e">
        <f>(J85/J87)/$B$88</f>
        <v>#DIV/0!</v>
      </c>
      <c r="K90" s="86" t="e">
        <f>(K85/K87)/$B$88</f>
        <v>#DIV/0!</v>
      </c>
      <c r="L90" s="86" t="e">
        <f>(L85/L87)/$B$88</f>
        <v>#DIV/0!</v>
      </c>
      <c r="M90" s="86" t="e">
        <f>(M85/M87)/$B$88</f>
        <v>#DIV/0!</v>
      </c>
      <c r="O90" s="37"/>
      <c r="P90" s="37"/>
      <c r="R90" s="37"/>
      <c r="S90" s="38"/>
      <c r="T90" s="77"/>
      <c r="U90" s="77"/>
      <c r="V90" s="37"/>
      <c r="W90" s="37"/>
      <c r="X90" s="37"/>
      <c r="Y90" s="37"/>
      <c r="Z90" s="37">
        <f>+'%Analysis'!A92</f>
        <v>0</v>
      </c>
    </row>
    <row r="91" spans="1:26" x14ac:dyDescent="0.2">
      <c r="A91" s="53"/>
      <c r="B91" s="38" t="s">
        <v>102</v>
      </c>
      <c r="C91" s="75">
        <f t="shared" ref="C91:I91" si="17">C61/C87</f>
        <v>0</v>
      </c>
      <c r="D91" s="75">
        <f t="shared" si="17"/>
        <v>0</v>
      </c>
      <c r="E91" s="75">
        <f t="shared" si="17"/>
        <v>0</v>
      </c>
      <c r="F91" s="75">
        <f t="shared" si="17"/>
        <v>0</v>
      </c>
      <c r="G91" s="75">
        <f t="shared" si="17"/>
        <v>0</v>
      </c>
      <c r="H91" s="75">
        <f t="shared" si="17"/>
        <v>0</v>
      </c>
      <c r="I91" s="75">
        <f t="shared" si="17"/>
        <v>0</v>
      </c>
      <c r="J91" s="75">
        <f>J61/J87</f>
        <v>0</v>
      </c>
      <c r="K91" s="75">
        <f>K61/K87</f>
        <v>0</v>
      </c>
      <c r="L91" s="75">
        <f>L61/L87</f>
        <v>0</v>
      </c>
      <c r="M91" s="75">
        <f>M61/M87</f>
        <v>0</v>
      </c>
      <c r="O91" s="37"/>
      <c r="P91" s="37"/>
      <c r="R91" s="37"/>
      <c r="S91" s="38"/>
      <c r="T91" s="77"/>
      <c r="U91" s="77"/>
      <c r="V91" s="37"/>
      <c r="W91" s="37"/>
      <c r="X91" s="37"/>
      <c r="Y91" s="37"/>
      <c r="Z91" s="37">
        <f>+'%Analysis'!A93</f>
        <v>0</v>
      </c>
    </row>
    <row r="92" spans="1:26" x14ac:dyDescent="0.2">
      <c r="A92" s="53"/>
      <c r="B92" s="87">
        <f>SUM(C91:J91)</f>
        <v>0</v>
      </c>
      <c r="C92" s="86" t="e">
        <f t="shared" ref="C92:J92" si="18">C91/$B$92</f>
        <v>#DIV/0!</v>
      </c>
      <c r="D92" s="86" t="e">
        <f t="shared" si="18"/>
        <v>#DIV/0!</v>
      </c>
      <c r="E92" s="86" t="e">
        <f t="shared" si="18"/>
        <v>#DIV/0!</v>
      </c>
      <c r="F92" s="86" t="e">
        <f t="shared" si="18"/>
        <v>#DIV/0!</v>
      </c>
      <c r="G92" s="86" t="e">
        <f t="shared" si="18"/>
        <v>#DIV/0!</v>
      </c>
      <c r="H92" s="86" t="e">
        <f t="shared" si="18"/>
        <v>#DIV/0!</v>
      </c>
      <c r="I92" s="86" t="e">
        <f t="shared" si="18"/>
        <v>#DIV/0!</v>
      </c>
      <c r="J92" s="86" t="e">
        <f t="shared" si="18"/>
        <v>#DIV/0!</v>
      </c>
      <c r="K92" s="86" t="e">
        <f>K91/$B$92</f>
        <v>#DIV/0!</v>
      </c>
      <c r="L92" s="86" t="e">
        <f>L91/$B$92</f>
        <v>#DIV/0!</v>
      </c>
      <c r="M92" s="86" t="e">
        <f>M91/$B$92</f>
        <v>#DIV/0!</v>
      </c>
      <c r="O92" s="37"/>
      <c r="P92" s="37"/>
      <c r="R92" s="37"/>
      <c r="S92" s="38"/>
      <c r="T92" s="77"/>
      <c r="U92" s="77"/>
      <c r="V92" s="37"/>
      <c r="W92" s="37"/>
      <c r="X92" s="37"/>
      <c r="Y92" s="37"/>
      <c r="Z92" s="37">
        <f>+'%Analysis'!A94</f>
        <v>0</v>
      </c>
    </row>
    <row r="93" spans="1:26" x14ac:dyDescent="0.2">
      <c r="A93" s="53"/>
      <c r="B93" s="13"/>
      <c r="C93" s="61"/>
      <c r="D93" s="61"/>
      <c r="E93" s="61"/>
      <c r="F93" s="61"/>
      <c r="G93" s="61"/>
      <c r="H93" s="61"/>
      <c r="I93" s="61"/>
      <c r="J93" s="61"/>
      <c r="K93" s="61"/>
      <c r="L93" s="61"/>
      <c r="Q93" s="33"/>
      <c r="R93" s="23"/>
      <c r="S93" s="23"/>
      <c r="Z93" s="37">
        <f>+'%Analysis'!A95</f>
        <v>0</v>
      </c>
    </row>
    <row r="94" spans="1:26" x14ac:dyDescent="0.2">
      <c r="A94" s="53"/>
      <c r="B94" s="13"/>
      <c r="C94" s="61" t="s">
        <v>2</v>
      </c>
      <c r="D94" s="61" t="s">
        <v>3</v>
      </c>
      <c r="E94" s="61" t="s">
        <v>4</v>
      </c>
      <c r="F94" s="61" t="s">
        <v>5</v>
      </c>
      <c r="G94" s="61" t="s">
        <v>6</v>
      </c>
      <c r="H94" s="61" t="s">
        <v>9</v>
      </c>
      <c r="I94" s="61" t="s">
        <v>7</v>
      </c>
      <c r="J94" s="61" t="s">
        <v>8</v>
      </c>
      <c r="K94" s="61" t="s">
        <v>10</v>
      </c>
      <c r="L94" s="116" t="s">
        <v>13</v>
      </c>
      <c r="M94" s="61" t="s">
        <v>11</v>
      </c>
      <c r="O94" s="40" t="s">
        <v>12</v>
      </c>
      <c r="P94" s="116" t="s">
        <v>14</v>
      </c>
      <c r="Q94" s="33"/>
      <c r="R94" s="23"/>
      <c r="S94" s="23"/>
      <c r="Z94" s="37">
        <f>+'%Analysis'!A96</f>
        <v>0</v>
      </c>
    </row>
    <row r="95" spans="1:26" x14ac:dyDescent="0.2">
      <c r="A95" s="44"/>
      <c r="B95" s="117" t="s">
        <v>135</v>
      </c>
      <c r="C95" s="43" t="e">
        <f t="shared" ref="C95:J95" si="19">+C86/(SUM($C$86:$M$86))</f>
        <v>#DIV/0!</v>
      </c>
      <c r="D95" s="43" t="e">
        <f t="shared" si="19"/>
        <v>#DIV/0!</v>
      </c>
      <c r="E95" s="43" t="e">
        <f t="shared" si="19"/>
        <v>#DIV/0!</v>
      </c>
      <c r="F95" s="43" t="e">
        <f t="shared" si="19"/>
        <v>#DIV/0!</v>
      </c>
      <c r="G95" s="43" t="e">
        <f t="shared" si="19"/>
        <v>#DIV/0!</v>
      </c>
      <c r="H95" s="43" t="e">
        <f t="shared" si="19"/>
        <v>#DIV/0!</v>
      </c>
      <c r="I95" s="43" t="e">
        <f t="shared" si="19"/>
        <v>#DIV/0!</v>
      </c>
      <c r="J95" s="43" t="e">
        <f t="shared" si="19"/>
        <v>#DIV/0!</v>
      </c>
      <c r="K95" s="43" t="e">
        <f>+L86/(SUM($C$86:$M$86))</f>
        <v>#DIV/0!</v>
      </c>
      <c r="L95" s="43" t="e">
        <f>+M86/(SUM($C$86:$M$86))</f>
        <v>#DIV/0!</v>
      </c>
      <c r="M95" s="43" t="e">
        <f>+O86/(SUM($C$86:$M$86))</f>
        <v>#DIV/0!</v>
      </c>
      <c r="O95" s="43" t="e">
        <f>+P86/(SUM($C$86:$M$86))</f>
        <v>#DIV/0!</v>
      </c>
      <c r="P95" s="118" t="e">
        <f>+R86/(SUM($C$86:$M$86))</f>
        <v>#DIV/0!</v>
      </c>
      <c r="Q95" s="13"/>
      <c r="R95" s="13"/>
      <c r="S95" s="13"/>
      <c r="T95" s="23"/>
      <c r="Z95" s="37">
        <f>+'%Analysis'!A97</f>
        <v>0</v>
      </c>
    </row>
    <row r="96" spans="1:26" x14ac:dyDescent="0.2">
      <c r="A96" s="44"/>
      <c r="Q96" s="13"/>
      <c r="R96" s="13"/>
      <c r="S96" s="13"/>
      <c r="T96" s="23"/>
      <c r="Z96" s="37">
        <f>+'%Analysis'!A98</f>
        <v>0</v>
      </c>
    </row>
    <row r="97" spans="1:26" x14ac:dyDescent="0.2">
      <c r="A97" s="44"/>
      <c r="B97" s="33"/>
      <c r="C97" s="33"/>
      <c r="D97" s="44"/>
      <c r="E97" s="44"/>
      <c r="F97" s="33"/>
      <c r="G97" s="42"/>
      <c r="H97" s="33"/>
      <c r="I97" s="33"/>
      <c r="J97" s="33"/>
      <c r="K97" s="13"/>
      <c r="L97" s="51"/>
      <c r="M97" s="13"/>
      <c r="O97" s="13"/>
      <c r="P97" s="51"/>
      <c r="Q97" s="13"/>
      <c r="R97" s="13"/>
      <c r="S97" s="13"/>
      <c r="T97" s="23"/>
      <c r="Z97" s="37">
        <f>+'%Analysis'!A99</f>
        <v>0</v>
      </c>
    </row>
    <row r="98" spans="1:26" x14ac:dyDescent="0.2">
      <c r="A98" s="44"/>
      <c r="B98" s="13" t="s">
        <v>0</v>
      </c>
      <c r="C98" s="13" t="s">
        <v>42</v>
      </c>
      <c r="D98" s="13"/>
      <c r="E98" s="24"/>
      <c r="F98" s="13" t="s">
        <v>40</v>
      </c>
      <c r="H98" s="13" t="s">
        <v>2</v>
      </c>
      <c r="I98" s="13" t="s">
        <v>3</v>
      </c>
      <c r="J98" s="13" t="s">
        <v>4</v>
      </c>
      <c r="K98" s="13" t="s">
        <v>5</v>
      </c>
      <c r="L98" s="19" t="s">
        <v>7</v>
      </c>
      <c r="M98" s="19" t="s">
        <v>6</v>
      </c>
      <c r="O98" s="13" t="s">
        <v>8</v>
      </c>
      <c r="P98" s="13" t="s">
        <v>9</v>
      </c>
      <c r="Q98" s="13" t="s">
        <v>10</v>
      </c>
      <c r="R98" s="13" t="s">
        <v>11</v>
      </c>
      <c r="S98" s="13" t="s">
        <v>12</v>
      </c>
      <c r="T98" s="23" t="s">
        <v>13</v>
      </c>
      <c r="U98" s="19" t="s">
        <v>14</v>
      </c>
      <c r="V98" s="19" t="s">
        <v>15</v>
      </c>
      <c r="W98" s="19" t="s">
        <v>16</v>
      </c>
      <c r="Z98" s="37">
        <f>+'%Analysis'!A100</f>
        <v>0</v>
      </c>
    </row>
    <row r="99" spans="1:26" x14ac:dyDescent="0.2">
      <c r="A99" s="44"/>
      <c r="B99" s="13"/>
      <c r="C99" s="13" t="s">
        <v>46</v>
      </c>
      <c r="D99" s="13"/>
      <c r="E99" s="13"/>
      <c r="F99" s="13">
        <v>0.92672503195620193</v>
      </c>
      <c r="G99" s="13"/>
      <c r="H99" s="13">
        <v>408.9</v>
      </c>
      <c r="I99" s="13">
        <v>170.5</v>
      </c>
      <c r="J99" s="13">
        <v>0</v>
      </c>
      <c r="K99" s="38">
        <v>1904.387201518633</v>
      </c>
      <c r="L99" s="13">
        <v>0</v>
      </c>
      <c r="M99" s="13">
        <v>1.4000000000000001</v>
      </c>
      <c r="O99" s="13">
        <v>0</v>
      </c>
      <c r="P99" s="13">
        <v>0</v>
      </c>
      <c r="Q99" s="13">
        <v>1124.7</v>
      </c>
      <c r="R99" s="13">
        <v>16.299999999999997</v>
      </c>
      <c r="S99" s="13">
        <v>280</v>
      </c>
      <c r="T99" s="23">
        <v>5482.7</v>
      </c>
      <c r="U99" s="19">
        <v>0</v>
      </c>
      <c r="V99" s="19">
        <v>1319.1127984813668</v>
      </c>
      <c r="W99" s="19">
        <v>280</v>
      </c>
      <c r="Z99" s="37">
        <f>+'%Analysis'!A101</f>
        <v>0</v>
      </c>
    </row>
    <row r="100" spans="1:26" x14ac:dyDescent="0.2">
      <c r="A100" s="4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23"/>
      <c r="Z100" s="37">
        <f>+'%Analysis'!A102</f>
        <v>0</v>
      </c>
    </row>
    <row r="101" spans="1:26" x14ac:dyDescent="0.2">
      <c r="A101" s="4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23"/>
      <c r="Z101" s="37">
        <f>+'%Analysis'!A103</f>
        <v>0</v>
      </c>
    </row>
    <row r="102" spans="1:26" x14ac:dyDescent="0.2">
      <c r="A102" s="4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23"/>
      <c r="Q102" s="13"/>
      <c r="R102" s="13"/>
      <c r="S102" s="23"/>
      <c r="Z102" s="37">
        <f>+'%Analysis'!A104</f>
        <v>0</v>
      </c>
    </row>
    <row r="103" spans="1:26" x14ac:dyDescent="0.2">
      <c r="A103" s="4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23"/>
      <c r="Q103" s="13"/>
      <c r="R103" s="13"/>
      <c r="S103" s="23"/>
      <c r="Z103" s="37">
        <f>+'%Analysis'!A105</f>
        <v>0</v>
      </c>
    </row>
    <row r="104" spans="1:26" x14ac:dyDescent="0.2">
      <c r="A104" s="4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1"/>
      <c r="N104" s="13"/>
      <c r="O104" s="13"/>
      <c r="P104" s="23"/>
      <c r="Q104" s="13"/>
      <c r="R104" s="13"/>
      <c r="S104" s="23"/>
      <c r="Z104" s="37">
        <f>+'%Analysis'!A106</f>
        <v>0</v>
      </c>
    </row>
    <row r="105" spans="1:26" x14ac:dyDescent="0.2">
      <c r="A105" s="4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51"/>
      <c r="N105" s="13"/>
      <c r="O105" s="13"/>
      <c r="P105" s="13"/>
      <c r="Q105" s="13"/>
      <c r="R105" s="13"/>
      <c r="S105" s="23"/>
      <c r="Z105" s="37">
        <f>+'%Analysis'!A107</f>
        <v>0</v>
      </c>
    </row>
    <row r="106" spans="1:26" x14ac:dyDescent="0.2">
      <c r="A106" s="44"/>
      <c r="B106" s="13"/>
      <c r="C106" s="5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23"/>
      <c r="Z106" s="37">
        <f>+'%Analysis'!A108</f>
        <v>0</v>
      </c>
    </row>
    <row r="107" spans="1:26" x14ac:dyDescent="0.2">
      <c r="A107" s="4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24"/>
      <c r="O107" s="13"/>
      <c r="P107" s="13"/>
      <c r="Q107" s="13"/>
      <c r="R107" s="13"/>
      <c r="S107" s="23"/>
      <c r="Z107" s="37">
        <f>+'%Analysis'!A109</f>
        <v>0</v>
      </c>
    </row>
    <row r="108" spans="1:26" x14ac:dyDescent="0.2">
      <c r="A108" s="4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23"/>
      <c r="Z108" s="37">
        <f>+'%Analysis'!A110</f>
        <v>0</v>
      </c>
    </row>
    <row r="109" spans="1:26" x14ac:dyDescent="0.2">
      <c r="A109" s="4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23"/>
      <c r="Z109" s="37">
        <f>+'%Analysis'!A111</f>
        <v>0</v>
      </c>
    </row>
    <row r="110" spans="1:26" x14ac:dyDescent="0.2">
      <c r="A110" s="139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13"/>
      <c r="P110" s="13"/>
      <c r="Q110" s="13"/>
      <c r="R110" s="13"/>
      <c r="S110" s="23"/>
      <c r="Z110" s="37">
        <f>+'%Analysis'!A112</f>
        <v>0</v>
      </c>
    </row>
    <row r="111" spans="1:26" x14ac:dyDescent="0.2">
      <c r="A111" s="44"/>
      <c r="B111" s="33"/>
      <c r="C111" s="33"/>
      <c r="D111" s="54"/>
      <c r="E111" s="44"/>
      <c r="F111" s="33"/>
      <c r="G111" s="33"/>
      <c r="H111" s="42"/>
      <c r="I111" s="33"/>
      <c r="J111" s="33"/>
      <c r="K111" s="13"/>
      <c r="L111" s="13"/>
      <c r="M111" s="13"/>
      <c r="N111" s="13"/>
      <c r="O111" s="13"/>
      <c r="P111" s="13"/>
      <c r="Q111" s="13"/>
      <c r="R111" s="13"/>
      <c r="S111" s="23"/>
      <c r="Z111" s="37">
        <f>+'%Analysis'!A113</f>
        <v>0</v>
      </c>
    </row>
    <row r="112" spans="1:26" x14ac:dyDescent="0.2">
      <c r="A112" s="44"/>
      <c r="B112" s="13"/>
      <c r="C112" s="13"/>
      <c r="D112" s="13"/>
      <c r="E112" s="13"/>
      <c r="F112" s="13"/>
      <c r="G112" s="5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3"/>
      <c r="Z112" s="37">
        <f>+'%Analysis'!A114</f>
        <v>0</v>
      </c>
    </row>
    <row r="113" spans="1:26" x14ac:dyDescent="0.2">
      <c r="A113" s="44"/>
      <c r="B113" s="13"/>
      <c r="C113" s="13"/>
      <c r="D113" s="13"/>
      <c r="E113" s="13"/>
      <c r="F113" s="13"/>
      <c r="G113" s="5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3"/>
      <c r="Z113" s="37">
        <f>+'%Analysis'!A115</f>
        <v>0</v>
      </c>
    </row>
    <row r="114" spans="1:26" x14ac:dyDescent="0.2">
      <c r="A114" s="44"/>
      <c r="B114" s="13"/>
      <c r="C114" s="13"/>
      <c r="D114" s="13"/>
      <c r="E114" s="13"/>
      <c r="F114" s="13"/>
      <c r="G114" s="5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3"/>
      <c r="Z114" s="37">
        <f>+'%Analysis'!A116</f>
        <v>0</v>
      </c>
    </row>
    <row r="115" spans="1:26" x14ac:dyDescent="0.2">
      <c r="A115" s="4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3"/>
      <c r="Z115" s="37">
        <f>+'%Analysis'!A117</f>
        <v>0</v>
      </c>
    </row>
    <row r="116" spans="1:26" x14ac:dyDescent="0.2">
      <c r="A116" s="4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3"/>
      <c r="Z116" s="37">
        <f>+'%Analysis'!A118</f>
        <v>0</v>
      </c>
    </row>
    <row r="117" spans="1:26" x14ac:dyDescent="0.2">
      <c r="A117" s="4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23"/>
      <c r="Z117" s="37">
        <f>+'%Analysis'!A119</f>
        <v>0</v>
      </c>
    </row>
    <row r="118" spans="1:26" x14ac:dyDescent="0.2">
      <c r="A118" s="4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3"/>
      <c r="Z118" s="37">
        <f>+'%Analysis'!A120</f>
        <v>0</v>
      </c>
    </row>
    <row r="119" spans="1:26" x14ac:dyDescent="0.2">
      <c r="A119" s="4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23"/>
      <c r="Z119" s="37">
        <f>+'%Analysis'!A121</f>
        <v>0</v>
      </c>
    </row>
    <row r="120" spans="1:26" x14ac:dyDescent="0.2">
      <c r="A120" s="4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23"/>
      <c r="Z120" s="37">
        <f>+'%Analysis'!A122</f>
        <v>0</v>
      </c>
    </row>
    <row r="121" spans="1:26" x14ac:dyDescent="0.2">
      <c r="A121" s="139"/>
      <c r="B121" s="23"/>
      <c r="C121" s="33"/>
      <c r="D121" s="33"/>
      <c r="E121" s="33"/>
      <c r="F121" s="33"/>
      <c r="G121" s="33"/>
      <c r="H121" s="23"/>
      <c r="I121" s="23"/>
      <c r="J121" s="13"/>
      <c r="K121" s="13"/>
      <c r="L121" s="13"/>
      <c r="M121" s="23"/>
      <c r="N121" s="23"/>
      <c r="O121" s="13"/>
      <c r="P121" s="13"/>
      <c r="Q121" s="23"/>
      <c r="R121" s="23"/>
      <c r="S121" s="23"/>
      <c r="Z121" s="37">
        <f>+'%Analysis'!A123</f>
        <v>0</v>
      </c>
    </row>
    <row r="122" spans="1:26" x14ac:dyDescent="0.2">
      <c r="A122" s="139"/>
      <c r="B122" s="23"/>
      <c r="C122" s="50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Z122" s="37">
        <f>+'%Analysis'!A124</f>
        <v>0</v>
      </c>
    </row>
    <row r="123" spans="1:26" x14ac:dyDescent="0.2">
      <c r="A123" s="44"/>
      <c r="B123" s="33"/>
      <c r="C123" s="11"/>
      <c r="D123" s="56"/>
      <c r="E123" s="57"/>
      <c r="F123" s="11"/>
      <c r="G123" s="11"/>
      <c r="H123" s="15"/>
      <c r="I123" s="11"/>
      <c r="J123" s="11"/>
      <c r="K123" s="58"/>
      <c r="L123" s="58"/>
      <c r="M123" s="13"/>
      <c r="N123" s="13"/>
      <c r="O123" s="23"/>
      <c r="P123" s="23"/>
      <c r="Q123" s="23"/>
      <c r="R123" s="23"/>
      <c r="S123" s="23"/>
      <c r="Z123" s="37">
        <f>+'%Analysis'!A125</f>
        <v>0</v>
      </c>
    </row>
    <row r="124" spans="1:26" x14ac:dyDescent="0.2">
      <c r="A124" s="44"/>
      <c r="B124" s="13"/>
      <c r="C124" s="13"/>
      <c r="D124" s="13"/>
      <c r="E124" s="13"/>
      <c r="F124" s="13"/>
      <c r="G124" s="55"/>
      <c r="H124" s="13"/>
      <c r="I124" s="13"/>
      <c r="J124" s="13"/>
      <c r="K124" s="13"/>
      <c r="L124" s="13"/>
      <c r="M124" s="13"/>
      <c r="N124" s="13"/>
      <c r="O124" s="23"/>
      <c r="P124" s="59"/>
      <c r="Q124" s="23"/>
      <c r="R124" s="23"/>
      <c r="S124" s="23"/>
      <c r="Z124" s="37">
        <f>+'%Analysis'!A126</f>
        <v>0</v>
      </c>
    </row>
    <row r="125" spans="1:26" x14ac:dyDescent="0.2">
      <c r="A125" s="44"/>
      <c r="B125" s="13"/>
      <c r="C125" s="13"/>
      <c r="D125" s="13"/>
      <c r="E125" s="13"/>
      <c r="F125" s="13"/>
      <c r="G125" s="55"/>
      <c r="H125" s="13"/>
      <c r="I125" s="13"/>
      <c r="J125" s="13"/>
      <c r="K125" s="13"/>
      <c r="L125" s="13"/>
      <c r="M125" s="13"/>
      <c r="N125" s="13"/>
      <c r="O125" s="23"/>
      <c r="P125" s="59"/>
      <c r="Q125" s="23"/>
      <c r="R125" s="23"/>
      <c r="S125" s="23"/>
      <c r="Z125" s="37">
        <f>+'%Analysis'!A127</f>
        <v>0</v>
      </c>
    </row>
    <row r="126" spans="1:26" x14ac:dyDescent="0.2">
      <c r="A126" s="44"/>
      <c r="B126" s="13"/>
      <c r="C126" s="13"/>
      <c r="D126" s="13"/>
      <c r="E126" s="13"/>
      <c r="F126" s="13"/>
      <c r="G126" s="55"/>
      <c r="H126" s="13"/>
      <c r="I126" s="13"/>
      <c r="J126" s="13"/>
      <c r="K126" s="13"/>
      <c r="L126" s="13"/>
      <c r="M126" s="13"/>
      <c r="N126" s="13"/>
      <c r="O126" s="23"/>
      <c r="P126" s="59"/>
      <c r="Q126" s="23"/>
      <c r="R126" s="23"/>
      <c r="S126" s="23"/>
      <c r="Z126" s="37">
        <f>+'%Analysis'!A128</f>
        <v>0</v>
      </c>
    </row>
    <row r="127" spans="1:26" x14ac:dyDescent="0.2">
      <c r="A127" s="44"/>
      <c r="B127" s="13"/>
      <c r="C127" s="13"/>
      <c r="D127" s="13"/>
      <c r="E127" s="13"/>
      <c r="F127" s="13"/>
      <c r="G127" s="55"/>
      <c r="H127" s="13"/>
      <c r="I127" s="13"/>
      <c r="J127" s="13"/>
      <c r="K127" s="13"/>
      <c r="L127" s="13"/>
      <c r="M127" s="13"/>
      <c r="N127" s="13"/>
      <c r="O127" s="23"/>
      <c r="P127" s="59"/>
      <c r="Q127" s="23"/>
      <c r="R127" s="23"/>
      <c r="S127" s="23"/>
      <c r="Z127" s="37">
        <f>+'%Analysis'!A129</f>
        <v>0</v>
      </c>
    </row>
    <row r="128" spans="1:26" x14ac:dyDescent="0.2">
      <c r="A128" s="44"/>
      <c r="B128" s="13"/>
      <c r="C128" s="13"/>
      <c r="D128" s="13"/>
      <c r="E128" s="13"/>
      <c r="F128" s="13"/>
      <c r="G128" s="55"/>
      <c r="H128" s="13"/>
      <c r="I128" s="13"/>
      <c r="J128" s="13"/>
      <c r="K128" s="13"/>
      <c r="L128" s="13"/>
      <c r="M128" s="13"/>
      <c r="N128" s="13"/>
      <c r="O128" s="23"/>
      <c r="P128" s="59"/>
      <c r="Q128" s="23"/>
      <c r="R128" s="23"/>
      <c r="S128" s="23"/>
      <c r="Z128" s="37">
        <f>+'%Analysis'!A130</f>
        <v>0</v>
      </c>
    </row>
    <row r="129" spans="1:26" x14ac:dyDescent="0.2">
      <c r="A129" s="44"/>
      <c r="B129" s="13"/>
      <c r="C129" s="13"/>
      <c r="D129" s="13"/>
      <c r="E129" s="13"/>
      <c r="F129" s="13"/>
      <c r="G129" s="55"/>
      <c r="H129" s="13"/>
      <c r="I129" s="13"/>
      <c r="J129" s="13"/>
      <c r="K129" s="13"/>
      <c r="L129" s="13"/>
      <c r="M129" s="13"/>
      <c r="N129" s="13"/>
      <c r="O129" s="23"/>
      <c r="P129" s="59"/>
      <c r="Q129" s="23"/>
      <c r="R129" s="23"/>
      <c r="S129" s="23"/>
      <c r="Z129" s="37">
        <f>+'%Analysis'!A131</f>
        <v>0</v>
      </c>
    </row>
    <row r="130" spans="1:26" x14ac:dyDescent="0.2">
      <c r="A130" s="44"/>
      <c r="B130" s="13"/>
      <c r="C130" s="13"/>
      <c r="D130" s="13"/>
      <c r="E130" s="13"/>
      <c r="F130" s="13"/>
      <c r="G130" s="55"/>
      <c r="H130" s="13"/>
      <c r="I130" s="13"/>
      <c r="J130" s="13"/>
      <c r="K130" s="13"/>
      <c r="L130" s="13"/>
      <c r="M130" s="13"/>
      <c r="N130" s="13"/>
      <c r="O130" s="23"/>
      <c r="P130" s="59"/>
      <c r="Q130" s="23"/>
      <c r="R130" s="23"/>
      <c r="S130" s="23"/>
      <c r="Z130" s="37">
        <f>+'%Analysis'!A132</f>
        <v>0</v>
      </c>
    </row>
    <row r="131" spans="1:26" x14ac:dyDescent="0.2">
      <c r="A131" s="44"/>
      <c r="B131" s="13"/>
      <c r="C131" s="13"/>
      <c r="D131" s="13"/>
      <c r="E131" s="13"/>
      <c r="F131" s="13"/>
      <c r="G131" s="55"/>
      <c r="H131" s="13"/>
      <c r="I131" s="13"/>
      <c r="J131" s="13"/>
      <c r="K131" s="13"/>
      <c r="L131" s="13"/>
      <c r="M131" s="13"/>
      <c r="N131" s="13"/>
      <c r="O131" s="23"/>
      <c r="P131" s="59"/>
      <c r="Q131" s="23"/>
      <c r="R131" s="23"/>
      <c r="S131" s="23"/>
      <c r="Z131" s="37">
        <f>+'%Analysis'!A133</f>
        <v>0</v>
      </c>
    </row>
    <row r="132" spans="1:26" x14ac:dyDescent="0.2">
      <c r="A132" s="44"/>
      <c r="B132" s="13"/>
      <c r="C132" s="13"/>
      <c r="D132" s="13"/>
      <c r="E132" s="13"/>
      <c r="F132" s="13"/>
      <c r="G132" s="55"/>
      <c r="H132" s="13"/>
      <c r="I132" s="13"/>
      <c r="J132" s="13"/>
      <c r="K132" s="13"/>
      <c r="L132" s="13"/>
      <c r="M132" s="13"/>
      <c r="N132" s="13"/>
      <c r="O132" s="23"/>
      <c r="P132" s="59"/>
      <c r="Q132" s="23"/>
      <c r="R132" s="23"/>
      <c r="S132" s="23"/>
      <c r="Z132" s="37">
        <f>+'%Analysis'!A134</f>
        <v>0</v>
      </c>
    </row>
    <row r="133" spans="1:26" x14ac:dyDescent="0.2">
      <c r="A133" s="139"/>
      <c r="B133" s="23"/>
      <c r="C133" s="33"/>
      <c r="D133" s="33"/>
      <c r="E133" s="33"/>
      <c r="F133" s="60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Z133" s="37">
        <f>+'%Analysis'!A135</f>
        <v>0</v>
      </c>
    </row>
    <row r="134" spans="1:26" x14ac:dyDescent="0.2">
      <c r="A134" s="53"/>
      <c r="B134" s="19"/>
      <c r="C134" s="40"/>
      <c r="D134" s="40"/>
      <c r="Z134" s="37">
        <f>+'%Analysis'!A136</f>
        <v>0</v>
      </c>
    </row>
    <row r="135" spans="1:26" x14ac:dyDescent="0.2">
      <c r="A135" s="53"/>
      <c r="B135" s="25" t="s">
        <v>0</v>
      </c>
      <c r="C135" s="26" t="s">
        <v>42</v>
      </c>
      <c r="D135" s="26"/>
      <c r="E135" s="26"/>
      <c r="F135" s="26" t="s">
        <v>40</v>
      </c>
      <c r="G135" s="26"/>
      <c r="H135" s="25" t="s">
        <v>2</v>
      </c>
      <c r="I135" s="25" t="s">
        <v>3</v>
      </c>
      <c r="J135" s="25" t="s">
        <v>4</v>
      </c>
      <c r="K135" s="25" t="s">
        <v>5</v>
      </c>
      <c r="L135" s="25" t="s">
        <v>7</v>
      </c>
      <c r="M135" s="25" t="s">
        <v>6</v>
      </c>
      <c r="N135" s="25" t="s">
        <v>8</v>
      </c>
      <c r="O135" s="25" t="s">
        <v>9</v>
      </c>
      <c r="P135" s="25" t="s">
        <v>10</v>
      </c>
      <c r="Q135" s="25" t="s">
        <v>11</v>
      </c>
      <c r="R135" s="25" t="s">
        <v>12</v>
      </c>
      <c r="S135" s="25" t="s">
        <v>13</v>
      </c>
      <c r="T135" s="25" t="s">
        <v>14</v>
      </c>
      <c r="U135" s="25" t="s">
        <v>15</v>
      </c>
      <c r="V135" s="25" t="s">
        <v>16</v>
      </c>
      <c r="Z135" s="37">
        <f>+'%Analysis'!A137</f>
        <v>0</v>
      </c>
    </row>
    <row r="136" spans="1:26" x14ac:dyDescent="0.2">
      <c r="A136" s="53"/>
      <c r="B136" s="19">
        <f t="shared" ref="B136:C148" si="20">B7</f>
        <v>0</v>
      </c>
      <c r="C136" s="40">
        <f t="shared" si="20"/>
        <v>0</v>
      </c>
      <c r="D136" s="40"/>
      <c r="H136" s="19" t="str">
        <f>IF(ISERROR(+$C136*+VLOOKUP($B136,'%Analysis'!$A$4:$S$204,4,0)),"",+$C136*+VLOOKUP($B136,'%Analysis'!$A$4:$S$204,4,0))</f>
        <v/>
      </c>
      <c r="I136" s="19" t="str">
        <f>IF(ISERROR(+$C136*+VLOOKUP($B136,'%Analysis'!$A$4:$S$204,5,0)),"",+$C136*+VLOOKUP($B136,'%Analysis'!$A$4:$S$204,5,0))</f>
        <v/>
      </c>
      <c r="J136" s="19" t="str">
        <f>IF(ISERROR(+$C136*+VLOOKUP($B136,'%Analysis'!$A$4:$S$204,6,0)),"",+$C136*+VLOOKUP($B136,'%Analysis'!$A$4:$S$204,6,0))</f>
        <v/>
      </c>
      <c r="K136" s="19" t="str">
        <f>IF(ISERROR(+$C136*+VLOOKUP($B136,'%Analysis'!$A$4:$S$204,7,0)),"",+$C136*+VLOOKUP($B136,'%Analysis'!$A$4:$S$204,7,0))</f>
        <v/>
      </c>
      <c r="L136" s="19" t="str">
        <f>IF(ISERROR(+$C136*+VLOOKUP($B136,'%Analysis'!$A$4:$S$204,8,0)),"",+$C136*+VLOOKUP($B136,'%Analysis'!$A$4:$S$204,8,0))</f>
        <v/>
      </c>
      <c r="M136" s="19" t="str">
        <f>IF(ISERROR(+$C136*+VLOOKUP($B136,'%Analysis'!$A$4:$S$204,9,0)),"",+$C136*+VLOOKUP($B136,'%Analysis'!$A$4:$S$204,9,0))</f>
        <v/>
      </c>
      <c r="N136" s="19" t="str">
        <f>IF(ISERROR(+$C136*+VLOOKUP($B136,'%Analysis'!$A$4:$S$204,10,0)),"",+$C136*+VLOOKUP($B136,'%Analysis'!$A$4:$S$204,10,0))</f>
        <v/>
      </c>
      <c r="O136" s="19" t="str">
        <f>IF(ISERROR(+$C136*+VLOOKUP($B136,'%Analysis'!$A$4:$S$204,11,0)),"",+$C136*+VLOOKUP($B136,'%Analysis'!$A$4:$S$204,11,0))</f>
        <v/>
      </c>
      <c r="P136" s="19" t="str">
        <f>IF(ISERROR(+$C136*+VLOOKUP($B136,'%Analysis'!$A$4:$S$204,12,0)),"",+$C136*+VLOOKUP($B136,'%Analysis'!$A$4:$S$204,12,0))</f>
        <v/>
      </c>
      <c r="Q136" s="19" t="str">
        <f>IF(ISERROR(+$C136*+VLOOKUP($B136,'%Analysis'!$A$4:$S$204,13,0)),"",+$C136*+VLOOKUP($B136,'%Analysis'!$A$4:$S$204,13,0))</f>
        <v/>
      </c>
      <c r="R136" s="19" t="str">
        <f>IF(ISERROR(+$C136*+VLOOKUP($B136,'%Analysis'!$A$4:$S$204,14,0)),"",+$C136*+VLOOKUP($B136,'%Analysis'!$A$4:$S$204,14,0))</f>
        <v/>
      </c>
      <c r="S136" s="19" t="str">
        <f>IF(ISERROR(+$C136*+VLOOKUP($B136,'%Analysis'!$A$4:$S$204,15,0)),"",+$C136*+VLOOKUP($B136,'%Analysis'!$A$4:$S$204,15,0))</f>
        <v/>
      </c>
      <c r="T136" s="19" t="str">
        <f>IF(ISERROR(+$C136*+VLOOKUP($B136,'%Analysis'!$A$4:$S$204,16,0)),"",+$C136*+VLOOKUP($B136,'%Analysis'!$A$4:$S$204,16,0))</f>
        <v/>
      </c>
      <c r="U136" s="19" t="str">
        <f>IF(ISERROR(+$C136*+VLOOKUP($B136,'%Analysis'!$A$4:$S$204,17,0)),"",+$C136*+VLOOKUP($B136,'%Analysis'!$A$4:$S$204,17,0))</f>
        <v/>
      </c>
      <c r="V136" s="19" t="str">
        <f>IF(ISERROR(+$C136*+VLOOKUP($B136,'%Analysis'!$A$4:$S$204,18,0)),"",+$C136*+VLOOKUP($B136,'%Analysis'!$A$4:$S$204,18,0))</f>
        <v/>
      </c>
      <c r="Z136" s="37">
        <f>+'%Analysis'!A138</f>
        <v>0</v>
      </c>
    </row>
    <row r="137" spans="1:26" x14ac:dyDescent="0.2">
      <c r="A137" s="53"/>
      <c r="B137" s="19">
        <f t="shared" si="20"/>
        <v>0</v>
      </c>
      <c r="C137" s="40">
        <f t="shared" si="20"/>
        <v>0</v>
      </c>
      <c r="D137" s="40"/>
      <c r="H137" s="19" t="str">
        <f>IF(ISERROR(+$C137*+VLOOKUP($B137,'%Analysis'!$A$4:$S$204,4,0)),"",+$C137*+VLOOKUP($B137,'%Analysis'!$A$4:$S$204,4,0))</f>
        <v/>
      </c>
      <c r="I137" s="19" t="str">
        <f>IF(ISERROR(+$C137*+VLOOKUP($B137,'%Analysis'!$A$4:$S$204,5,0)),"",+$C137*+VLOOKUP($B137,'%Analysis'!$A$4:$S$204,5,0))</f>
        <v/>
      </c>
      <c r="J137" s="19" t="str">
        <f>IF(ISERROR(+$C137*+VLOOKUP($B137,'%Analysis'!$A$4:$S$204,6,0)),"",+$C137*+VLOOKUP($B137,'%Analysis'!$A$4:$S$204,6,0))</f>
        <v/>
      </c>
      <c r="K137" s="19" t="str">
        <f>IF(ISERROR(+$C137*+VLOOKUP($B137,'%Analysis'!$A$4:$S$204,7,0)),"",+$C137*+VLOOKUP($B137,'%Analysis'!$A$4:$S$204,7,0))</f>
        <v/>
      </c>
      <c r="L137" s="19" t="str">
        <f>IF(ISERROR(+$C137*+VLOOKUP($B137,'%Analysis'!$A$4:$S$204,8,0)),"",+$C137*+VLOOKUP($B137,'%Analysis'!$A$4:$S$204,8,0))</f>
        <v/>
      </c>
      <c r="M137" s="19" t="str">
        <f>IF(ISERROR(+$C137*+VLOOKUP($B137,'%Analysis'!$A$4:$S$204,9,0)),"",+$C137*+VLOOKUP($B137,'%Analysis'!$A$4:$S$204,9,0))</f>
        <v/>
      </c>
      <c r="N137" s="19" t="str">
        <f>IF(ISERROR(+$C137*+VLOOKUP($B137,'%Analysis'!$A$4:$S$204,10,0)),"",+$C137*+VLOOKUP($B137,'%Analysis'!$A$4:$S$204,10,0))</f>
        <v/>
      </c>
      <c r="O137" s="19" t="str">
        <f>IF(ISERROR(+$C137*+VLOOKUP($B137,'%Analysis'!$A$4:$S$204,11,0)),"",+$C137*+VLOOKUP($B137,'%Analysis'!$A$4:$S$204,11,0))</f>
        <v/>
      </c>
      <c r="P137" s="19" t="str">
        <f>IF(ISERROR(+$C137*+VLOOKUP($B137,'%Analysis'!$A$4:$S$204,12,0)),"",+$C137*+VLOOKUP($B137,'%Analysis'!$A$4:$S$204,12,0))</f>
        <v/>
      </c>
      <c r="Q137" s="19" t="str">
        <f>IF(ISERROR(+$C137*+VLOOKUP($B137,'%Analysis'!$A$4:$S$204,13,0)),"",+$C137*+VLOOKUP($B137,'%Analysis'!$A$4:$S$204,13,0))</f>
        <v/>
      </c>
      <c r="R137" s="19" t="str">
        <f>IF(ISERROR(+$C137*+VLOOKUP($B137,'%Analysis'!$A$4:$S$204,14,0)),"",+$C137*+VLOOKUP($B137,'%Analysis'!$A$4:$S$204,14,0))</f>
        <v/>
      </c>
      <c r="S137" s="19" t="str">
        <f>IF(ISERROR(+$C137*+VLOOKUP($B137,'%Analysis'!$A$4:$S$204,15,0)),"",+$C137*+VLOOKUP($B137,'%Analysis'!$A$4:$S$204,15,0))</f>
        <v/>
      </c>
      <c r="T137" s="19" t="str">
        <f>IF(ISERROR(+$C137*+VLOOKUP($B137,'%Analysis'!$A$4:$S$204,16,0)),"",+$C137*+VLOOKUP($B137,'%Analysis'!$A$4:$S$204,16,0))</f>
        <v/>
      </c>
      <c r="U137" s="19" t="str">
        <f>IF(ISERROR(+$C137*+VLOOKUP($B137,'%Analysis'!$A$4:$S$204,17,0)),"",+$C137*+VLOOKUP($B137,'%Analysis'!$A$4:$S$204,17,0))</f>
        <v/>
      </c>
      <c r="V137" s="19" t="str">
        <f>IF(ISERROR(+$C137*+VLOOKUP($B137,'%Analysis'!$A$4:$S$204,18,0)),"",+$C137*+VLOOKUP($B137,'%Analysis'!$A$4:$S$204,18,0))</f>
        <v/>
      </c>
      <c r="Z137" s="37">
        <f>+'%Analysis'!A139</f>
        <v>0</v>
      </c>
    </row>
    <row r="138" spans="1:26" x14ac:dyDescent="0.2">
      <c r="A138" s="53"/>
      <c r="B138" s="19">
        <f t="shared" si="20"/>
        <v>0</v>
      </c>
      <c r="C138" s="40">
        <f t="shared" si="20"/>
        <v>0</v>
      </c>
      <c r="D138" s="40"/>
      <c r="H138" s="19" t="str">
        <f>IF(ISERROR(+$C138*+VLOOKUP($B138,'%Analysis'!$A$4:$S$204,4,0)),"",+$C138*+VLOOKUP($B138,'%Analysis'!$A$4:$S$204,4,0))</f>
        <v/>
      </c>
      <c r="I138" s="19" t="str">
        <f>IF(ISERROR(+$C138*+VLOOKUP($B138,'%Analysis'!$A$4:$S$204,5,0)),"",+$C138*+VLOOKUP($B138,'%Analysis'!$A$4:$S$204,5,0))</f>
        <v/>
      </c>
      <c r="J138" s="19" t="str">
        <f>IF(ISERROR(+$C138*+VLOOKUP($B138,'%Analysis'!$A$4:$S$204,6,0)),"",+$C138*+VLOOKUP($B138,'%Analysis'!$A$4:$S$204,6,0))</f>
        <v/>
      </c>
      <c r="K138" s="19" t="str">
        <f>IF(ISERROR(+$C138*+VLOOKUP($B138,'%Analysis'!$A$4:$S$204,7,0)),"",+$C138*+VLOOKUP($B138,'%Analysis'!$A$4:$S$204,7,0))</f>
        <v/>
      </c>
      <c r="L138" s="19" t="str">
        <f>IF(ISERROR(+$C138*+VLOOKUP($B138,'%Analysis'!$A$4:$S$204,8,0)),"",+$C138*+VLOOKUP($B138,'%Analysis'!$A$4:$S$204,8,0))</f>
        <v/>
      </c>
      <c r="M138" s="19" t="str">
        <f>IF(ISERROR(+$C138*+VLOOKUP($B138,'%Analysis'!$A$4:$S$204,9,0)),"",+$C138*+VLOOKUP($B138,'%Analysis'!$A$4:$S$204,9,0))</f>
        <v/>
      </c>
      <c r="N138" s="19" t="str">
        <f>IF(ISERROR(+$C138*+VLOOKUP($B138,'%Analysis'!$A$4:$S$204,10,0)),"",+$C138*+VLOOKUP($B138,'%Analysis'!$A$4:$S$204,10,0))</f>
        <v/>
      </c>
      <c r="O138" s="19" t="str">
        <f>IF(ISERROR(+$C138*+VLOOKUP($B138,'%Analysis'!$A$4:$S$204,11,0)),"",+$C138*+VLOOKUP($B138,'%Analysis'!$A$4:$S$204,11,0))</f>
        <v/>
      </c>
      <c r="P138" s="19" t="str">
        <f>IF(ISERROR(+$C138*+VLOOKUP($B138,'%Analysis'!$A$4:$S$204,12,0)),"",+$C138*+VLOOKUP($B138,'%Analysis'!$A$4:$S$204,12,0))</f>
        <v/>
      </c>
      <c r="Q138" s="19" t="str">
        <f>IF(ISERROR(+$C138*+VLOOKUP($B138,'%Analysis'!$A$4:$S$204,13,0)),"",+$C138*+VLOOKUP($B138,'%Analysis'!$A$4:$S$204,13,0))</f>
        <v/>
      </c>
      <c r="R138" s="19" t="str">
        <f>IF(ISERROR(+$C138*+VLOOKUP($B138,'%Analysis'!$A$4:$S$204,14,0)),"",+$C138*+VLOOKUP($B138,'%Analysis'!$A$4:$S$204,14,0))</f>
        <v/>
      </c>
      <c r="S138" s="19" t="str">
        <f>IF(ISERROR(+$C138*+VLOOKUP($B138,'%Analysis'!$A$4:$S$204,15,0)),"",+$C138*+VLOOKUP($B138,'%Analysis'!$A$4:$S$204,15,0))</f>
        <v/>
      </c>
      <c r="T138" s="19" t="str">
        <f>IF(ISERROR(+$C138*+VLOOKUP($B138,'%Analysis'!$A$4:$S$204,16,0)),"",+$C138*+VLOOKUP($B138,'%Analysis'!$A$4:$S$204,16,0))</f>
        <v/>
      </c>
      <c r="U138" s="19" t="str">
        <f>IF(ISERROR(+$C138*+VLOOKUP($B138,'%Analysis'!$A$4:$S$204,17,0)),"",+$C138*+VLOOKUP($B138,'%Analysis'!$A$4:$S$204,17,0))</f>
        <v/>
      </c>
      <c r="V138" s="19" t="str">
        <f>IF(ISERROR(+$C138*+VLOOKUP($B138,'%Analysis'!$A$4:$S$204,18,0)),"",+$C138*+VLOOKUP($B138,'%Analysis'!$A$4:$S$204,18,0))</f>
        <v/>
      </c>
      <c r="Z138" s="37">
        <f>+'%Analysis'!A140</f>
        <v>0</v>
      </c>
    </row>
    <row r="139" spans="1:26" x14ac:dyDescent="0.2">
      <c r="A139" s="53"/>
      <c r="B139" s="19">
        <f t="shared" si="20"/>
        <v>0</v>
      </c>
      <c r="C139" s="40">
        <f t="shared" si="20"/>
        <v>0</v>
      </c>
      <c r="D139" s="40"/>
      <c r="H139" s="19" t="str">
        <f>IF(ISERROR(+$C139*+VLOOKUP($B139,'%Analysis'!$A$4:$S$204,4,0)),"",+$C139*+VLOOKUP($B139,'%Analysis'!$A$4:$S$204,4,0))</f>
        <v/>
      </c>
      <c r="I139" s="19" t="str">
        <f>IF(ISERROR(+$C139*+VLOOKUP($B139,'%Analysis'!$A$4:$S$204,5,0)),"",+$C139*+VLOOKUP($B139,'%Analysis'!$A$4:$S$204,5,0))</f>
        <v/>
      </c>
      <c r="J139" s="19" t="str">
        <f>IF(ISERROR(+$C139*+VLOOKUP($B139,'%Analysis'!$A$4:$S$204,6,0)),"",+$C139*+VLOOKUP($B139,'%Analysis'!$A$4:$S$204,6,0))</f>
        <v/>
      </c>
      <c r="K139" s="19" t="str">
        <f>IF(ISERROR(+$C139*+VLOOKUP($B139,'%Analysis'!$A$4:$S$204,7,0)),"",+$C139*+VLOOKUP($B139,'%Analysis'!$A$4:$S$204,7,0))</f>
        <v/>
      </c>
      <c r="L139" s="19" t="str">
        <f>IF(ISERROR(+$C139*+VLOOKUP($B139,'%Analysis'!$A$4:$S$204,8,0)),"",+$C139*+VLOOKUP($B139,'%Analysis'!$A$4:$S$204,8,0))</f>
        <v/>
      </c>
      <c r="M139" s="19" t="str">
        <f>IF(ISERROR(+$C139*+VLOOKUP($B139,'%Analysis'!$A$4:$S$204,9,0)),"",+$C139*+VLOOKUP($B139,'%Analysis'!$A$4:$S$204,9,0))</f>
        <v/>
      </c>
      <c r="N139" s="19" t="str">
        <f>IF(ISERROR(+$C139*+VLOOKUP($B139,'%Analysis'!$A$4:$S$204,10,0)),"",+$C139*+VLOOKUP($B139,'%Analysis'!$A$4:$S$204,10,0))</f>
        <v/>
      </c>
      <c r="O139" s="19" t="str">
        <f>IF(ISERROR(+$C139*+VLOOKUP($B139,'%Analysis'!$A$4:$S$204,11,0)),"",+$C139*+VLOOKUP($B139,'%Analysis'!$A$4:$S$204,11,0))</f>
        <v/>
      </c>
      <c r="P139" s="19" t="str">
        <f>IF(ISERROR(+$C139*+VLOOKUP($B139,'%Analysis'!$A$4:$S$204,12,0)),"",+$C139*+VLOOKUP($B139,'%Analysis'!$A$4:$S$204,12,0))</f>
        <v/>
      </c>
      <c r="Q139" s="19" t="str">
        <f>IF(ISERROR(+$C139*+VLOOKUP($B139,'%Analysis'!$A$4:$S$204,13,0)),"",+$C139*+VLOOKUP($B139,'%Analysis'!$A$4:$S$204,13,0))</f>
        <v/>
      </c>
      <c r="R139" s="19" t="str">
        <f>IF(ISERROR(+$C139*+VLOOKUP($B139,'%Analysis'!$A$4:$S$204,14,0)),"",+$C139*+VLOOKUP($B139,'%Analysis'!$A$4:$S$204,14,0))</f>
        <v/>
      </c>
      <c r="S139" s="19" t="str">
        <f>IF(ISERROR(+$C139*+VLOOKUP($B139,'%Analysis'!$A$4:$S$204,15,0)),"",+$C139*+VLOOKUP($B139,'%Analysis'!$A$4:$S$204,15,0))</f>
        <v/>
      </c>
      <c r="T139" s="19" t="str">
        <f>IF(ISERROR(+$C139*+VLOOKUP($B139,'%Analysis'!$A$4:$S$204,16,0)),"",+$C139*+VLOOKUP($B139,'%Analysis'!$A$4:$S$204,16,0))</f>
        <v/>
      </c>
      <c r="U139" s="19" t="str">
        <f>IF(ISERROR(+$C139*+VLOOKUP($B139,'%Analysis'!$A$4:$S$204,17,0)),"",+$C139*+VLOOKUP($B139,'%Analysis'!$A$4:$S$204,17,0))</f>
        <v/>
      </c>
      <c r="V139" s="19" t="str">
        <f>IF(ISERROR(+$C139*+VLOOKUP($B139,'%Analysis'!$A$4:$S$204,18,0)),"",+$C139*+VLOOKUP($B139,'%Analysis'!$A$4:$S$204,18,0))</f>
        <v/>
      </c>
      <c r="Z139" s="37">
        <f>+'%Analysis'!A141</f>
        <v>0</v>
      </c>
    </row>
    <row r="140" spans="1:26" x14ac:dyDescent="0.2">
      <c r="A140" s="53"/>
      <c r="B140" s="19">
        <f t="shared" si="20"/>
        <v>0</v>
      </c>
      <c r="C140" s="40">
        <f t="shared" si="20"/>
        <v>0</v>
      </c>
      <c r="D140" s="40"/>
      <c r="H140" s="19" t="str">
        <f>IF(ISERROR(+$C140*+VLOOKUP($B140,'%Analysis'!$A$4:$S$204,4,0)),"",+$C140*+VLOOKUP($B140,'%Analysis'!$A$4:$S$204,4,0))</f>
        <v/>
      </c>
      <c r="I140" s="19" t="str">
        <f>IF(ISERROR(+$C140*+VLOOKUP($B140,'%Analysis'!$A$4:$S$204,5,0)),"",+$C140*+VLOOKUP($B140,'%Analysis'!$A$4:$S$204,5,0))</f>
        <v/>
      </c>
      <c r="J140" s="19" t="str">
        <f>IF(ISERROR(+$C140*+VLOOKUP($B140,'%Analysis'!$A$4:$S$204,6,0)),"",+$C140*+VLOOKUP($B140,'%Analysis'!$A$4:$S$204,6,0))</f>
        <v/>
      </c>
      <c r="K140" s="19" t="str">
        <f>IF(ISERROR(+$C140*+VLOOKUP($B140,'%Analysis'!$A$4:$S$204,7,0)),"",+$C140*+VLOOKUP($B140,'%Analysis'!$A$4:$S$204,7,0))</f>
        <v/>
      </c>
      <c r="L140" s="19" t="str">
        <f>IF(ISERROR(+$C140*+VLOOKUP($B140,'%Analysis'!$A$4:$S$204,8,0)),"",+$C140*+VLOOKUP($B140,'%Analysis'!$A$4:$S$204,8,0))</f>
        <v/>
      </c>
      <c r="M140" s="19" t="str">
        <f>IF(ISERROR(+$C140*+VLOOKUP($B140,'%Analysis'!$A$4:$S$204,9,0)),"",+$C140*+VLOOKUP($B140,'%Analysis'!$A$4:$S$204,9,0))</f>
        <v/>
      </c>
      <c r="N140" s="19" t="str">
        <f>IF(ISERROR(+$C140*+VLOOKUP($B140,'%Analysis'!$A$4:$S$204,10,0)),"",+$C140*+VLOOKUP($B140,'%Analysis'!$A$4:$S$204,10,0))</f>
        <v/>
      </c>
      <c r="O140" s="19" t="str">
        <f>IF(ISERROR(+$C140*+VLOOKUP($B140,'%Analysis'!$A$4:$S$204,11,0)),"",+$C140*+VLOOKUP($B140,'%Analysis'!$A$4:$S$204,11,0))</f>
        <v/>
      </c>
      <c r="P140" s="19" t="str">
        <f>IF(ISERROR(+$C140*+VLOOKUP($B140,'%Analysis'!$A$4:$S$204,12,0)),"",+$C140*+VLOOKUP($B140,'%Analysis'!$A$4:$S$204,12,0))</f>
        <v/>
      </c>
      <c r="Q140" s="19" t="str">
        <f>IF(ISERROR(+$C140*+VLOOKUP($B140,'%Analysis'!$A$4:$S$204,13,0)),"",+$C140*+VLOOKUP($B140,'%Analysis'!$A$4:$S$204,13,0))</f>
        <v/>
      </c>
      <c r="R140" s="19" t="str">
        <f>IF(ISERROR(+$C140*+VLOOKUP($B140,'%Analysis'!$A$4:$S$204,14,0)),"",+$C140*+VLOOKUP($B140,'%Analysis'!$A$4:$S$204,14,0))</f>
        <v/>
      </c>
      <c r="S140" s="19" t="str">
        <f>IF(ISERROR(+$C140*+VLOOKUP($B140,'%Analysis'!$A$4:$S$204,15,0)),"",+$C140*+VLOOKUP($B140,'%Analysis'!$A$4:$S$204,15,0))</f>
        <v/>
      </c>
      <c r="T140" s="19" t="str">
        <f>IF(ISERROR(+$C140*+VLOOKUP($B140,'%Analysis'!$A$4:$S$204,16,0)),"",+$C140*+VLOOKUP($B140,'%Analysis'!$A$4:$S$204,16,0))</f>
        <v/>
      </c>
      <c r="U140" s="19" t="str">
        <f>IF(ISERROR(+$C140*+VLOOKUP($B140,'%Analysis'!$A$4:$S$204,17,0)),"",+$C140*+VLOOKUP($B140,'%Analysis'!$A$4:$S$204,17,0))</f>
        <v/>
      </c>
      <c r="V140" s="19" t="str">
        <f>IF(ISERROR(+$C140*+VLOOKUP($B140,'%Analysis'!$A$4:$S$204,18,0)),"",+$C140*+VLOOKUP($B140,'%Analysis'!$A$4:$S$204,18,0))</f>
        <v/>
      </c>
      <c r="Z140" s="37">
        <f>+'%Analysis'!A142</f>
        <v>0</v>
      </c>
    </row>
    <row r="141" spans="1:26" x14ac:dyDescent="0.2">
      <c r="A141" s="53"/>
      <c r="B141" s="19">
        <f t="shared" si="20"/>
        <v>0</v>
      </c>
      <c r="C141" s="40">
        <f t="shared" si="20"/>
        <v>0</v>
      </c>
      <c r="D141" s="40"/>
      <c r="H141" s="19" t="str">
        <f>IF(ISERROR(+$C141*+VLOOKUP($B141,'%Analysis'!$A$4:$S$204,4,0)),"",+$C141*+VLOOKUP($B141,'%Analysis'!$A$4:$S$204,4,0))</f>
        <v/>
      </c>
      <c r="I141" s="19" t="str">
        <f>IF(ISERROR(+$C141*+VLOOKUP($B141,'%Analysis'!$A$4:$S$204,5,0)),"",+$C141*+VLOOKUP($B141,'%Analysis'!$A$4:$S$204,5,0))</f>
        <v/>
      </c>
      <c r="J141" s="19" t="str">
        <f>IF(ISERROR(+$C141*+VLOOKUP($B141,'%Analysis'!$A$4:$S$204,6,0)),"",+$C141*+VLOOKUP($B141,'%Analysis'!$A$4:$S$204,6,0))</f>
        <v/>
      </c>
      <c r="K141" s="19" t="str">
        <f>IF(ISERROR(+$C141*+VLOOKUP($B141,'%Analysis'!$A$4:$S$204,7,0)),"",+$C141*+VLOOKUP($B141,'%Analysis'!$A$4:$S$204,7,0))</f>
        <v/>
      </c>
      <c r="L141" s="19" t="str">
        <f>IF(ISERROR(+$C141*+VLOOKUP($B141,'%Analysis'!$A$4:$S$204,8,0)),"",+$C141*+VLOOKUP($B141,'%Analysis'!$A$4:$S$204,8,0))</f>
        <v/>
      </c>
      <c r="M141" s="19" t="str">
        <f>IF(ISERROR(+$C141*+VLOOKUP($B141,'%Analysis'!$A$4:$S$204,9,0)),"",+$C141*+VLOOKUP($B141,'%Analysis'!$A$4:$S$204,9,0))</f>
        <v/>
      </c>
      <c r="N141" s="19" t="str">
        <f>IF(ISERROR(+$C141*+VLOOKUP($B141,'%Analysis'!$A$4:$S$204,10,0)),"",+$C141*+VLOOKUP($B141,'%Analysis'!$A$4:$S$204,10,0))</f>
        <v/>
      </c>
      <c r="O141" s="19" t="str">
        <f>IF(ISERROR(+$C141*+VLOOKUP($B141,'%Analysis'!$A$4:$S$204,11,0)),"",+$C141*+VLOOKUP($B141,'%Analysis'!$A$4:$S$204,11,0))</f>
        <v/>
      </c>
      <c r="P141" s="19" t="str">
        <f>IF(ISERROR(+$C141*+VLOOKUP($B141,'%Analysis'!$A$4:$S$204,12,0)),"",+$C141*+VLOOKUP($B141,'%Analysis'!$A$4:$S$204,12,0))</f>
        <v/>
      </c>
      <c r="Q141" s="19" t="str">
        <f>IF(ISERROR(+$C141*+VLOOKUP($B141,'%Analysis'!$A$4:$S$204,13,0)),"",+$C141*+VLOOKUP($B141,'%Analysis'!$A$4:$S$204,13,0))</f>
        <v/>
      </c>
      <c r="R141" s="19" t="str">
        <f>IF(ISERROR(+$C141*+VLOOKUP($B141,'%Analysis'!$A$4:$S$204,14,0)),"",+$C141*+VLOOKUP($B141,'%Analysis'!$A$4:$S$204,14,0))</f>
        <v/>
      </c>
      <c r="S141" s="19" t="str">
        <f>IF(ISERROR(+$C141*+VLOOKUP($B141,'%Analysis'!$A$4:$S$204,15,0)),"",+$C141*+VLOOKUP($B141,'%Analysis'!$A$4:$S$204,15,0))</f>
        <v/>
      </c>
      <c r="T141" s="19" t="str">
        <f>IF(ISERROR(+$C141*+VLOOKUP($B141,'%Analysis'!$A$4:$S$204,16,0)),"",+$C141*+VLOOKUP($B141,'%Analysis'!$A$4:$S$204,16,0))</f>
        <v/>
      </c>
      <c r="U141" s="19" t="str">
        <f>IF(ISERROR(+$C141*+VLOOKUP($B141,'%Analysis'!$A$4:$S$204,17,0)),"",+$C141*+VLOOKUP($B141,'%Analysis'!$A$4:$S$204,17,0))</f>
        <v/>
      </c>
      <c r="V141" s="19" t="str">
        <f>IF(ISERROR(+$C141*+VLOOKUP($B141,'%Analysis'!$A$4:$S$204,18,0)),"",+$C141*+VLOOKUP($B141,'%Analysis'!$A$4:$S$204,18,0))</f>
        <v/>
      </c>
      <c r="Z141" s="37">
        <f>+'%Analysis'!A143</f>
        <v>0</v>
      </c>
    </row>
    <row r="142" spans="1:26" x14ac:dyDescent="0.2">
      <c r="A142" s="53"/>
      <c r="B142" s="19">
        <f t="shared" si="20"/>
        <v>0</v>
      </c>
      <c r="C142" s="40">
        <f t="shared" si="20"/>
        <v>0</v>
      </c>
      <c r="D142" s="40"/>
      <c r="H142" s="19" t="str">
        <f>IF(ISERROR(+$C142*+VLOOKUP($B142,'%Analysis'!$A$4:$S$204,4,0)),"",+$C142*+VLOOKUP($B142,'%Analysis'!$A$4:$S$204,4,0))</f>
        <v/>
      </c>
      <c r="I142" s="19" t="str">
        <f>IF(ISERROR(+$C142*+VLOOKUP($B142,'%Analysis'!$A$4:$S$204,5,0)),"",+$C142*+VLOOKUP($B142,'%Analysis'!$A$4:$S$204,5,0))</f>
        <v/>
      </c>
      <c r="J142" s="19" t="str">
        <f>IF(ISERROR(+$C142*+VLOOKUP($B142,'%Analysis'!$A$4:$S$204,6,0)),"",+$C142*+VLOOKUP($B142,'%Analysis'!$A$4:$S$204,6,0))</f>
        <v/>
      </c>
      <c r="K142" s="19" t="str">
        <f>IF(ISERROR(+$C142*+VLOOKUP($B142,'%Analysis'!$A$4:$S$204,7,0)),"",+$C142*+VLOOKUP($B142,'%Analysis'!$A$4:$S$204,7,0))</f>
        <v/>
      </c>
      <c r="L142" s="19" t="str">
        <f>IF(ISERROR(+$C142*+VLOOKUP($B142,'%Analysis'!$A$4:$S$204,8,0)),"",+$C142*+VLOOKUP($B142,'%Analysis'!$A$4:$S$204,8,0))</f>
        <v/>
      </c>
      <c r="M142" s="19" t="str">
        <f>IF(ISERROR(+$C142*+VLOOKUP($B142,'%Analysis'!$A$4:$S$204,9,0)),"",+$C142*+VLOOKUP($B142,'%Analysis'!$A$4:$S$204,9,0))</f>
        <v/>
      </c>
      <c r="N142" s="19" t="str">
        <f>IF(ISERROR(+$C142*+VLOOKUP($B142,'%Analysis'!$A$4:$S$204,10,0)),"",+$C142*+VLOOKUP($B142,'%Analysis'!$A$4:$S$204,10,0))</f>
        <v/>
      </c>
      <c r="O142" s="19" t="str">
        <f>IF(ISERROR(+$C142*+VLOOKUP($B142,'%Analysis'!$A$4:$S$204,11,0)),"",+$C142*+VLOOKUP($B142,'%Analysis'!$A$4:$S$204,11,0))</f>
        <v/>
      </c>
      <c r="P142" s="19" t="str">
        <f>IF(ISERROR(+$C142*+VLOOKUP($B142,'%Analysis'!$A$4:$S$204,12,0)),"",+$C142*+VLOOKUP($B142,'%Analysis'!$A$4:$S$204,12,0))</f>
        <v/>
      </c>
      <c r="Q142" s="19" t="str">
        <f>IF(ISERROR(+$C142*+VLOOKUP($B142,'%Analysis'!$A$4:$S$204,13,0)),"",+$C142*+VLOOKUP($B142,'%Analysis'!$A$4:$S$204,13,0))</f>
        <v/>
      </c>
      <c r="R142" s="19" t="str">
        <f>IF(ISERROR(+$C142*+VLOOKUP($B142,'%Analysis'!$A$4:$S$204,14,0)),"",+$C142*+VLOOKUP($B142,'%Analysis'!$A$4:$S$204,14,0))</f>
        <v/>
      </c>
      <c r="S142" s="19" t="str">
        <f>IF(ISERROR(+$C142*+VLOOKUP($B142,'%Analysis'!$A$4:$S$204,15,0)),"",+$C142*+VLOOKUP($B142,'%Analysis'!$A$4:$S$204,15,0))</f>
        <v/>
      </c>
      <c r="T142" s="19" t="str">
        <f>IF(ISERROR(+$C142*+VLOOKUP($B142,'%Analysis'!$A$4:$S$204,16,0)),"",+$C142*+VLOOKUP($B142,'%Analysis'!$A$4:$S$204,16,0))</f>
        <v/>
      </c>
      <c r="U142" s="19" t="str">
        <f>IF(ISERROR(+$C142*+VLOOKUP($B142,'%Analysis'!$A$4:$S$204,17,0)),"",+$C142*+VLOOKUP($B142,'%Analysis'!$A$4:$S$204,17,0))</f>
        <v/>
      </c>
      <c r="V142" s="19" t="str">
        <f>IF(ISERROR(+$C142*+VLOOKUP($B142,'%Analysis'!$A$4:$S$204,18,0)),"",+$C142*+VLOOKUP($B142,'%Analysis'!$A$4:$S$204,18,0))</f>
        <v/>
      </c>
      <c r="Z142" s="37">
        <f>+'%Analysis'!A144</f>
        <v>0</v>
      </c>
    </row>
    <row r="143" spans="1:26" x14ac:dyDescent="0.2">
      <c r="A143" s="53"/>
      <c r="B143" s="19">
        <f t="shared" si="20"/>
        <v>0</v>
      </c>
      <c r="C143" s="40">
        <f t="shared" si="20"/>
        <v>0</v>
      </c>
      <c r="D143" s="40"/>
      <c r="H143" s="19" t="str">
        <f>IF(ISERROR(+$C143*+VLOOKUP($B143,'%Analysis'!$A$4:$S$204,4,0)),"",+$C143*+VLOOKUP($B143,'%Analysis'!$A$4:$S$204,4,0))</f>
        <v/>
      </c>
      <c r="I143" s="19" t="str">
        <f>IF(ISERROR(+$C143*+VLOOKUP($B143,'%Analysis'!$A$4:$S$204,5,0)),"",+$C143*+VLOOKUP($B143,'%Analysis'!$A$4:$S$204,5,0))</f>
        <v/>
      </c>
      <c r="J143" s="19" t="str">
        <f>IF(ISERROR(+$C143*+VLOOKUP($B143,'%Analysis'!$A$4:$S$204,6,0)),"",+$C143*+VLOOKUP($B143,'%Analysis'!$A$4:$S$204,6,0))</f>
        <v/>
      </c>
      <c r="K143" s="19" t="str">
        <f>IF(ISERROR(+$C143*+VLOOKUP($B143,'%Analysis'!$A$4:$S$204,7,0)),"",+$C143*+VLOOKUP($B143,'%Analysis'!$A$4:$S$204,7,0))</f>
        <v/>
      </c>
      <c r="L143" s="19" t="str">
        <f>IF(ISERROR(+$C143*+VLOOKUP($B143,'%Analysis'!$A$4:$S$204,8,0)),"",+$C143*+VLOOKUP($B143,'%Analysis'!$A$4:$S$204,8,0))</f>
        <v/>
      </c>
      <c r="M143" s="19" t="str">
        <f>IF(ISERROR(+$C143*+VLOOKUP($B143,'%Analysis'!$A$4:$S$204,9,0)),"",+$C143*+VLOOKUP($B143,'%Analysis'!$A$4:$S$204,9,0))</f>
        <v/>
      </c>
      <c r="N143" s="19" t="str">
        <f>IF(ISERROR(+$C143*+VLOOKUP($B143,'%Analysis'!$A$4:$S$204,10,0)),"",+$C143*+VLOOKUP($B143,'%Analysis'!$A$4:$S$204,10,0))</f>
        <v/>
      </c>
      <c r="O143" s="19" t="str">
        <f>IF(ISERROR(+$C143*+VLOOKUP($B143,'%Analysis'!$A$4:$S$204,11,0)),"",+$C143*+VLOOKUP($B143,'%Analysis'!$A$4:$S$204,11,0))</f>
        <v/>
      </c>
      <c r="P143" s="19" t="str">
        <f>IF(ISERROR(+$C143*+VLOOKUP($B143,'%Analysis'!$A$4:$S$204,12,0)),"",+$C143*+VLOOKUP($B143,'%Analysis'!$A$4:$S$204,12,0))</f>
        <v/>
      </c>
      <c r="Q143" s="19" t="str">
        <f>IF(ISERROR(+$C143*+VLOOKUP($B143,'%Analysis'!$A$4:$S$204,13,0)),"",+$C143*+VLOOKUP($B143,'%Analysis'!$A$4:$S$204,13,0))</f>
        <v/>
      </c>
      <c r="R143" s="19" t="str">
        <f>IF(ISERROR(+$C143*+VLOOKUP($B143,'%Analysis'!$A$4:$S$204,14,0)),"",+$C143*+VLOOKUP($B143,'%Analysis'!$A$4:$S$204,14,0))</f>
        <v/>
      </c>
      <c r="S143" s="19" t="str">
        <f>IF(ISERROR(+$C143*+VLOOKUP($B143,'%Analysis'!$A$4:$S$204,15,0)),"",+$C143*+VLOOKUP($B143,'%Analysis'!$A$4:$S$204,15,0))</f>
        <v/>
      </c>
      <c r="T143" s="19" t="str">
        <f>IF(ISERROR(+$C143*+VLOOKUP($B143,'%Analysis'!$A$4:$S$204,16,0)),"",+$C143*+VLOOKUP($B143,'%Analysis'!$A$4:$S$204,16,0))</f>
        <v/>
      </c>
      <c r="U143" s="19" t="str">
        <f>IF(ISERROR(+$C143*+VLOOKUP($B143,'%Analysis'!$A$4:$S$204,17,0)),"",+$C143*+VLOOKUP($B143,'%Analysis'!$A$4:$S$204,17,0))</f>
        <v/>
      </c>
      <c r="V143" s="19" t="str">
        <f>IF(ISERROR(+$C143*+VLOOKUP($B143,'%Analysis'!$A$4:$S$204,18,0)),"",+$C143*+VLOOKUP($B143,'%Analysis'!$A$4:$S$204,18,0))</f>
        <v/>
      </c>
      <c r="Z143" s="37">
        <f>+'%Analysis'!A145</f>
        <v>0</v>
      </c>
    </row>
    <row r="144" spans="1:26" x14ac:dyDescent="0.2">
      <c r="A144" s="53"/>
      <c r="B144" s="19">
        <f t="shared" si="20"/>
        <v>0</v>
      </c>
      <c r="C144" s="40">
        <f t="shared" si="20"/>
        <v>0</v>
      </c>
      <c r="D144" s="40"/>
      <c r="H144" s="19" t="str">
        <f>IF(ISERROR(+$C144*+VLOOKUP($B144,'%Analysis'!$A$4:$S$204,4,0)),"",+$C144*+VLOOKUP($B144,'%Analysis'!$A$4:$S$204,4,0))</f>
        <v/>
      </c>
      <c r="I144" s="19" t="str">
        <f>IF(ISERROR(+$C144*+VLOOKUP($B144,'%Analysis'!$A$4:$S$204,5,0)),"",+$C144*+VLOOKUP($B144,'%Analysis'!$A$4:$S$204,5,0))</f>
        <v/>
      </c>
      <c r="J144" s="19" t="str">
        <f>IF(ISERROR(+$C144*+VLOOKUP($B144,'%Analysis'!$A$4:$S$204,6,0)),"",+$C144*+VLOOKUP($B144,'%Analysis'!$A$4:$S$204,6,0))</f>
        <v/>
      </c>
      <c r="K144" s="19" t="str">
        <f>IF(ISERROR(+$C144*+VLOOKUP($B144,'%Analysis'!$A$4:$S$204,7,0)),"",+$C144*+VLOOKUP($B144,'%Analysis'!$A$4:$S$204,7,0))</f>
        <v/>
      </c>
      <c r="L144" s="19" t="str">
        <f>IF(ISERROR(+$C144*+VLOOKUP($B144,'%Analysis'!$A$4:$S$204,8,0)),"",+$C144*+VLOOKUP($B144,'%Analysis'!$A$4:$S$204,8,0))</f>
        <v/>
      </c>
      <c r="M144" s="19" t="str">
        <f>IF(ISERROR(+$C144*+VLOOKUP($B144,'%Analysis'!$A$4:$S$204,9,0)),"",+$C144*+VLOOKUP($B144,'%Analysis'!$A$4:$S$204,9,0))</f>
        <v/>
      </c>
      <c r="N144" s="19" t="str">
        <f>IF(ISERROR(+$C144*+VLOOKUP($B144,'%Analysis'!$A$4:$S$204,10,0)),"",+$C144*+VLOOKUP($B144,'%Analysis'!$A$4:$S$204,10,0))</f>
        <v/>
      </c>
      <c r="O144" s="19" t="str">
        <f>IF(ISERROR(+$C144*+VLOOKUP($B144,'%Analysis'!$A$4:$S$204,11,0)),"",+$C144*+VLOOKUP($B144,'%Analysis'!$A$4:$S$204,11,0))</f>
        <v/>
      </c>
      <c r="P144" s="19" t="str">
        <f>IF(ISERROR(+$C144*+VLOOKUP($B144,'%Analysis'!$A$4:$S$204,12,0)),"",+$C144*+VLOOKUP($B144,'%Analysis'!$A$4:$S$204,12,0))</f>
        <v/>
      </c>
      <c r="Q144" s="19" t="str">
        <f>IF(ISERROR(+$C144*+VLOOKUP($B144,'%Analysis'!$A$4:$S$204,13,0)),"",+$C144*+VLOOKUP($B144,'%Analysis'!$A$4:$S$204,13,0))</f>
        <v/>
      </c>
      <c r="R144" s="19" t="str">
        <f>IF(ISERROR(+$C144*+VLOOKUP($B144,'%Analysis'!$A$4:$S$204,14,0)),"",+$C144*+VLOOKUP($B144,'%Analysis'!$A$4:$S$204,14,0))</f>
        <v/>
      </c>
      <c r="S144" s="19" t="str">
        <f>IF(ISERROR(+$C144*+VLOOKUP($B144,'%Analysis'!$A$4:$S$204,15,0)),"",+$C144*+VLOOKUP($B144,'%Analysis'!$A$4:$S$204,15,0))</f>
        <v/>
      </c>
      <c r="T144" s="19" t="str">
        <f>IF(ISERROR(+$C144*+VLOOKUP($B144,'%Analysis'!$A$4:$S$204,16,0)),"",+$C144*+VLOOKUP($B144,'%Analysis'!$A$4:$S$204,16,0))</f>
        <v/>
      </c>
      <c r="U144" s="19" t="str">
        <f>IF(ISERROR(+$C144*+VLOOKUP($B144,'%Analysis'!$A$4:$S$204,17,0)),"",+$C144*+VLOOKUP($B144,'%Analysis'!$A$4:$S$204,17,0))</f>
        <v/>
      </c>
      <c r="V144" s="19" t="str">
        <f>IF(ISERROR(+$C144*+VLOOKUP($B144,'%Analysis'!$A$4:$S$204,18,0)),"",+$C144*+VLOOKUP($B144,'%Analysis'!$A$4:$S$204,18,0))</f>
        <v/>
      </c>
      <c r="Z144" s="37">
        <f>+'%Analysis'!A146</f>
        <v>0</v>
      </c>
    </row>
    <row r="145" spans="1:26" x14ac:dyDescent="0.2">
      <c r="A145" s="53"/>
      <c r="B145" s="19">
        <f t="shared" si="20"/>
        <v>0</v>
      </c>
      <c r="C145" s="40">
        <f t="shared" si="20"/>
        <v>0</v>
      </c>
      <c r="D145" s="40"/>
      <c r="H145" s="19" t="str">
        <f>IF(ISERROR(+$C145*+VLOOKUP($B145,'%Analysis'!$A$4:$S$204,4,0)),"",+$C145*+VLOOKUP($B145,'%Analysis'!$A$4:$S$204,4,0))</f>
        <v/>
      </c>
      <c r="I145" s="19" t="str">
        <f>IF(ISERROR(+$C145*+VLOOKUP($B145,'%Analysis'!$A$4:$S$204,5,0)),"",+$C145*+VLOOKUP($B145,'%Analysis'!$A$4:$S$204,5,0))</f>
        <v/>
      </c>
      <c r="J145" s="19" t="str">
        <f>IF(ISERROR(+$C145*+VLOOKUP($B145,'%Analysis'!$A$4:$S$204,6,0)),"",+$C145*+VLOOKUP($B145,'%Analysis'!$A$4:$S$204,6,0))</f>
        <v/>
      </c>
      <c r="K145" s="19" t="str">
        <f>IF(ISERROR(+$C145*+VLOOKUP($B145,'%Analysis'!$A$4:$S$204,7,0)),"",+$C145*+VLOOKUP($B145,'%Analysis'!$A$4:$S$204,7,0))</f>
        <v/>
      </c>
      <c r="L145" s="19" t="str">
        <f>IF(ISERROR(+$C145*+VLOOKUP($B145,'%Analysis'!$A$4:$S$204,8,0)),"",+$C145*+VLOOKUP($B145,'%Analysis'!$A$4:$S$204,8,0))</f>
        <v/>
      </c>
      <c r="M145" s="19" t="str">
        <f>IF(ISERROR(+$C145*+VLOOKUP($B145,'%Analysis'!$A$4:$S$204,9,0)),"",+$C145*+VLOOKUP($B145,'%Analysis'!$A$4:$S$204,9,0))</f>
        <v/>
      </c>
      <c r="N145" s="19" t="str">
        <f>IF(ISERROR(+$C145*+VLOOKUP($B145,'%Analysis'!$A$4:$S$204,10,0)),"",+$C145*+VLOOKUP($B145,'%Analysis'!$A$4:$S$204,10,0))</f>
        <v/>
      </c>
      <c r="O145" s="19" t="str">
        <f>IF(ISERROR(+$C145*+VLOOKUP($B145,'%Analysis'!$A$4:$S$204,11,0)),"",+$C145*+VLOOKUP($B145,'%Analysis'!$A$4:$S$204,11,0))</f>
        <v/>
      </c>
      <c r="P145" s="19" t="str">
        <f>IF(ISERROR(+$C145*+VLOOKUP($B145,'%Analysis'!$A$4:$S$204,12,0)),"",+$C145*+VLOOKUP($B145,'%Analysis'!$A$4:$S$204,12,0))</f>
        <v/>
      </c>
      <c r="Q145" s="19" t="str">
        <f>IF(ISERROR(+$C145*+VLOOKUP($B145,'%Analysis'!$A$4:$S$204,13,0)),"",+$C145*+VLOOKUP($B145,'%Analysis'!$A$4:$S$204,13,0))</f>
        <v/>
      </c>
      <c r="R145" s="19" t="str">
        <f>IF(ISERROR(+$C145*+VLOOKUP($B145,'%Analysis'!$A$4:$S$204,14,0)),"",+$C145*+VLOOKUP($B145,'%Analysis'!$A$4:$S$204,14,0))</f>
        <v/>
      </c>
      <c r="S145" s="19" t="str">
        <f>IF(ISERROR(+$C145*+VLOOKUP($B145,'%Analysis'!$A$4:$S$204,15,0)),"",+$C145*+VLOOKUP($B145,'%Analysis'!$A$4:$S$204,15,0))</f>
        <v/>
      </c>
      <c r="T145" s="19" t="str">
        <f>IF(ISERROR(+$C145*+VLOOKUP($B145,'%Analysis'!$A$4:$S$204,16,0)),"",+$C145*+VLOOKUP($B145,'%Analysis'!$A$4:$S$204,16,0))</f>
        <v/>
      </c>
      <c r="U145" s="19" t="str">
        <f>IF(ISERROR(+$C145*+VLOOKUP($B145,'%Analysis'!$A$4:$S$204,17,0)),"",+$C145*+VLOOKUP($B145,'%Analysis'!$A$4:$S$204,17,0))</f>
        <v/>
      </c>
      <c r="V145" s="19" t="str">
        <f>IF(ISERROR(+$C145*+VLOOKUP($B145,'%Analysis'!$A$4:$S$204,18,0)),"",+$C145*+VLOOKUP($B145,'%Analysis'!$A$4:$S$204,18,0))</f>
        <v/>
      </c>
      <c r="Z145" s="37">
        <f>+'%Analysis'!A147</f>
        <v>0</v>
      </c>
    </row>
    <row r="146" spans="1:26" x14ac:dyDescent="0.2">
      <c r="A146" s="53"/>
      <c r="B146" s="19">
        <f t="shared" si="20"/>
        <v>0</v>
      </c>
      <c r="C146" s="40">
        <f t="shared" si="20"/>
        <v>0</v>
      </c>
      <c r="D146" s="40"/>
      <c r="H146" s="19" t="str">
        <f>IF(ISERROR(+$C146*+VLOOKUP($B146,'%Analysis'!$A$4:$S$204,4,0)),"",+$C146*+VLOOKUP($B146,'%Analysis'!$A$4:$S$204,4,0))</f>
        <v/>
      </c>
      <c r="I146" s="19" t="str">
        <f>IF(ISERROR(+$C146*+VLOOKUP($B146,'%Analysis'!$A$4:$S$204,5,0)),"",+$C146*+VLOOKUP($B146,'%Analysis'!$A$4:$S$204,5,0))</f>
        <v/>
      </c>
      <c r="J146" s="19" t="str">
        <f>IF(ISERROR(+$C146*+VLOOKUP($B146,'%Analysis'!$A$4:$S$204,6,0)),"",+$C146*+VLOOKUP($B146,'%Analysis'!$A$4:$S$204,6,0))</f>
        <v/>
      </c>
      <c r="K146" s="19" t="str">
        <f>IF(ISERROR(+$C146*+VLOOKUP($B146,'%Analysis'!$A$4:$S$204,7,0)),"",+$C146*+VLOOKUP($B146,'%Analysis'!$A$4:$S$204,7,0))</f>
        <v/>
      </c>
      <c r="L146" s="19" t="str">
        <f>IF(ISERROR(+$C146*+VLOOKUP($B146,'%Analysis'!$A$4:$S$204,8,0)),"",+$C146*+VLOOKUP($B146,'%Analysis'!$A$4:$S$204,8,0))</f>
        <v/>
      </c>
      <c r="M146" s="19" t="str">
        <f>IF(ISERROR(+$C146*+VLOOKUP($B146,'%Analysis'!$A$4:$S$204,9,0)),"",+$C146*+VLOOKUP($B146,'%Analysis'!$A$4:$S$204,9,0))</f>
        <v/>
      </c>
      <c r="N146" s="19" t="str">
        <f>IF(ISERROR(+$C146*+VLOOKUP($B146,'%Analysis'!$A$4:$S$204,10,0)),"",+$C146*+VLOOKUP($B146,'%Analysis'!$A$4:$S$204,10,0))</f>
        <v/>
      </c>
      <c r="O146" s="19" t="str">
        <f>IF(ISERROR(+$C146*+VLOOKUP($B146,'%Analysis'!$A$4:$S$204,11,0)),"",+$C146*+VLOOKUP($B146,'%Analysis'!$A$4:$S$204,11,0))</f>
        <v/>
      </c>
      <c r="P146" s="19" t="str">
        <f>IF(ISERROR(+$C146*+VLOOKUP($B146,'%Analysis'!$A$4:$S$204,12,0)),"",+$C146*+VLOOKUP($B146,'%Analysis'!$A$4:$S$204,12,0))</f>
        <v/>
      </c>
      <c r="Q146" s="19" t="str">
        <f>IF(ISERROR(+$C146*+VLOOKUP($B146,'%Analysis'!$A$4:$S$204,13,0)),"",+$C146*+VLOOKUP($B146,'%Analysis'!$A$4:$S$204,13,0))</f>
        <v/>
      </c>
      <c r="R146" s="19" t="str">
        <f>IF(ISERROR(+$C146*+VLOOKUP($B146,'%Analysis'!$A$4:$S$204,14,0)),"",+$C146*+VLOOKUP($B146,'%Analysis'!$A$4:$S$204,14,0))</f>
        <v/>
      </c>
      <c r="S146" s="19" t="str">
        <f>IF(ISERROR(+$C146*+VLOOKUP($B146,'%Analysis'!$A$4:$S$204,15,0)),"",+$C146*+VLOOKUP($B146,'%Analysis'!$A$4:$S$204,15,0))</f>
        <v/>
      </c>
      <c r="T146" s="19" t="str">
        <f>IF(ISERROR(+$C146*+VLOOKUP($B146,'%Analysis'!$A$4:$S$204,16,0)),"",+$C146*+VLOOKUP($B146,'%Analysis'!$A$4:$S$204,16,0))</f>
        <v/>
      </c>
      <c r="U146" s="19" t="str">
        <f>IF(ISERROR(+$C146*+VLOOKUP($B146,'%Analysis'!$A$4:$S$204,17,0)),"",+$C146*+VLOOKUP($B146,'%Analysis'!$A$4:$S$204,17,0))</f>
        <v/>
      </c>
      <c r="V146" s="19" t="str">
        <f>IF(ISERROR(+$C146*+VLOOKUP($B146,'%Analysis'!$A$4:$S$204,18,0)),"",+$C146*+VLOOKUP($B146,'%Analysis'!$A$4:$S$204,18,0))</f>
        <v/>
      </c>
      <c r="Z146" s="37">
        <f>+'%Analysis'!A148</f>
        <v>0</v>
      </c>
    </row>
    <row r="147" spans="1:26" x14ac:dyDescent="0.2">
      <c r="A147" s="53"/>
      <c r="B147" s="19">
        <f t="shared" si="20"/>
        <v>0</v>
      </c>
      <c r="C147" s="40">
        <f t="shared" si="20"/>
        <v>0</v>
      </c>
      <c r="D147" s="40"/>
      <c r="H147" s="19" t="str">
        <f>IF(ISERROR(+$C147*+VLOOKUP($B147,'%Analysis'!$A$4:$S$204,4,0)),"",+$C147*+VLOOKUP($B147,'%Analysis'!$A$4:$S$204,4,0))</f>
        <v/>
      </c>
      <c r="I147" s="19" t="str">
        <f>IF(ISERROR(+$C147*+VLOOKUP($B147,'%Analysis'!$A$4:$S$204,5,0)),"",+$C147*+VLOOKUP($B147,'%Analysis'!$A$4:$S$204,5,0))</f>
        <v/>
      </c>
      <c r="J147" s="19" t="str">
        <f>IF(ISERROR(+$C147*+VLOOKUP($B147,'%Analysis'!$A$4:$S$204,6,0)),"",+$C147*+VLOOKUP($B147,'%Analysis'!$A$4:$S$204,6,0))</f>
        <v/>
      </c>
      <c r="K147" s="19" t="str">
        <f>IF(ISERROR(+$C147*+VLOOKUP($B147,'%Analysis'!$A$4:$S$204,7,0)),"",+$C147*+VLOOKUP($B147,'%Analysis'!$A$4:$S$204,7,0))</f>
        <v/>
      </c>
      <c r="L147" s="19" t="str">
        <f>IF(ISERROR(+$C147*+VLOOKUP($B147,'%Analysis'!$A$4:$S$204,8,0)),"",+$C147*+VLOOKUP($B147,'%Analysis'!$A$4:$S$204,8,0))</f>
        <v/>
      </c>
      <c r="M147" s="19" t="str">
        <f>IF(ISERROR(+$C147*+VLOOKUP($B147,'%Analysis'!$A$4:$S$204,9,0)),"",+$C147*+VLOOKUP($B147,'%Analysis'!$A$4:$S$204,9,0))</f>
        <v/>
      </c>
      <c r="N147" s="19" t="str">
        <f>IF(ISERROR(+$C147*+VLOOKUP($B147,'%Analysis'!$A$4:$S$204,10,0)),"",+$C147*+VLOOKUP($B147,'%Analysis'!$A$4:$S$204,10,0))</f>
        <v/>
      </c>
      <c r="O147" s="19" t="str">
        <f>IF(ISERROR(+$C147*+VLOOKUP($B147,'%Analysis'!$A$4:$S$204,11,0)),"",+$C147*+VLOOKUP($B147,'%Analysis'!$A$4:$S$204,11,0))</f>
        <v/>
      </c>
      <c r="P147" s="19" t="str">
        <f>IF(ISERROR(+$C147*+VLOOKUP($B147,'%Analysis'!$A$4:$S$204,12,0)),"",+$C147*+VLOOKUP($B147,'%Analysis'!$A$4:$S$204,12,0))</f>
        <v/>
      </c>
      <c r="Q147" s="19" t="str">
        <f>IF(ISERROR(+$C147*+VLOOKUP($B147,'%Analysis'!$A$4:$S$204,13,0)),"",+$C147*+VLOOKUP($B147,'%Analysis'!$A$4:$S$204,13,0))</f>
        <v/>
      </c>
      <c r="R147" s="19" t="str">
        <f>IF(ISERROR(+$C147*+VLOOKUP($B147,'%Analysis'!$A$4:$S$204,14,0)),"",+$C147*+VLOOKUP($B147,'%Analysis'!$A$4:$S$204,14,0))</f>
        <v/>
      </c>
      <c r="S147" s="19" t="str">
        <f>IF(ISERROR(+$C147*+VLOOKUP($B147,'%Analysis'!$A$4:$S$204,15,0)),"",+$C147*+VLOOKUP($B147,'%Analysis'!$A$4:$S$204,15,0))</f>
        <v/>
      </c>
      <c r="T147" s="19" t="str">
        <f>IF(ISERROR(+$C147*+VLOOKUP($B147,'%Analysis'!$A$4:$S$204,16,0)),"",+$C147*+VLOOKUP($B147,'%Analysis'!$A$4:$S$204,16,0))</f>
        <v/>
      </c>
      <c r="U147" s="19" t="str">
        <f>IF(ISERROR(+$C147*+VLOOKUP($B147,'%Analysis'!$A$4:$S$204,17,0)),"",+$C147*+VLOOKUP($B147,'%Analysis'!$A$4:$S$204,17,0))</f>
        <v/>
      </c>
      <c r="V147" s="19" t="str">
        <f>IF(ISERROR(+$C147*+VLOOKUP($B147,'%Analysis'!$A$4:$S$204,18,0)),"",+$C147*+VLOOKUP($B147,'%Analysis'!$A$4:$S$204,18,0))</f>
        <v/>
      </c>
      <c r="Z147" s="37">
        <f>+'%Analysis'!A149</f>
        <v>0</v>
      </c>
    </row>
    <row r="148" spans="1:26" x14ac:dyDescent="0.2">
      <c r="A148" s="53"/>
      <c r="B148" s="19">
        <f t="shared" si="20"/>
        <v>0</v>
      </c>
      <c r="C148" s="40">
        <f t="shared" si="20"/>
        <v>0</v>
      </c>
      <c r="D148" s="40"/>
      <c r="H148" s="19" t="str">
        <f>IF(ISERROR(+$C148*+VLOOKUP($B148,'%Analysis'!$A$4:$S$204,4,0)),"",+$C148*+VLOOKUP($B148,'%Analysis'!$A$4:$S$204,4,0))</f>
        <v/>
      </c>
      <c r="I148" s="19" t="str">
        <f>IF(ISERROR(+$C148*+VLOOKUP($B148,'%Analysis'!$A$4:$S$204,5,0)),"",+$C148*+VLOOKUP($B148,'%Analysis'!$A$4:$S$204,5,0))</f>
        <v/>
      </c>
      <c r="J148" s="19" t="str">
        <f>IF(ISERROR(+$C148*+VLOOKUP($B148,'%Analysis'!$A$4:$S$204,6,0)),"",+$C148*+VLOOKUP($B148,'%Analysis'!$A$4:$S$204,6,0))</f>
        <v/>
      </c>
      <c r="K148" s="19" t="str">
        <f>IF(ISERROR(+$C148*+VLOOKUP($B148,'%Analysis'!$A$4:$S$204,7,0)),"",+$C148*+VLOOKUP($B148,'%Analysis'!$A$4:$S$204,7,0))</f>
        <v/>
      </c>
      <c r="L148" s="19" t="str">
        <f>IF(ISERROR(+$C148*+VLOOKUP($B148,'%Analysis'!$A$4:$S$204,8,0)),"",+$C148*+VLOOKUP($B148,'%Analysis'!$A$4:$S$204,8,0))</f>
        <v/>
      </c>
      <c r="M148" s="19" t="str">
        <f>IF(ISERROR(+$C148*+VLOOKUP($B148,'%Analysis'!$A$4:$S$204,9,0)),"",+$C148*+VLOOKUP($B148,'%Analysis'!$A$4:$S$204,9,0))</f>
        <v/>
      </c>
      <c r="N148" s="19" t="str">
        <f>IF(ISERROR(+$C148*+VLOOKUP($B148,'%Analysis'!$A$4:$S$204,10,0)),"",+$C148*+VLOOKUP($B148,'%Analysis'!$A$4:$S$204,10,0))</f>
        <v/>
      </c>
      <c r="O148" s="19" t="str">
        <f>IF(ISERROR(+$C148*+VLOOKUP($B148,'%Analysis'!$A$4:$S$204,11,0)),"",+$C148*+VLOOKUP($B148,'%Analysis'!$A$4:$S$204,11,0))</f>
        <v/>
      </c>
      <c r="P148" s="19" t="str">
        <f>IF(ISERROR(+$C148*+VLOOKUP($B148,'%Analysis'!$A$4:$S$204,12,0)),"",+$C148*+VLOOKUP($B148,'%Analysis'!$A$4:$S$204,12,0))</f>
        <v/>
      </c>
      <c r="Q148" s="19" t="str">
        <f>IF(ISERROR(+$C148*+VLOOKUP($B148,'%Analysis'!$A$4:$S$204,13,0)),"",+$C148*+VLOOKUP($B148,'%Analysis'!$A$4:$S$204,13,0))</f>
        <v/>
      </c>
      <c r="R148" s="19" t="str">
        <f>IF(ISERROR(+$C148*+VLOOKUP($B148,'%Analysis'!$A$4:$S$204,14,0)),"",+$C148*+VLOOKUP($B148,'%Analysis'!$A$4:$S$204,14,0))</f>
        <v/>
      </c>
      <c r="S148" s="19" t="str">
        <f>IF(ISERROR(+$C148*+VLOOKUP($B148,'%Analysis'!$A$4:$S$204,15,0)),"",+$C148*+VLOOKUP($B148,'%Analysis'!$A$4:$S$204,15,0))</f>
        <v/>
      </c>
      <c r="T148" s="19" t="str">
        <f>IF(ISERROR(+$C148*+VLOOKUP($B148,'%Analysis'!$A$4:$S$204,16,0)),"",+$C148*+VLOOKUP($B148,'%Analysis'!$A$4:$S$204,16,0))</f>
        <v/>
      </c>
      <c r="U148" s="19" t="str">
        <f>IF(ISERROR(+$C148*+VLOOKUP($B148,'%Analysis'!$A$4:$S$204,17,0)),"",+$C148*+VLOOKUP($B148,'%Analysis'!$A$4:$S$204,17,0))</f>
        <v/>
      </c>
      <c r="V148" s="19" t="str">
        <f>IF(ISERROR(+$C148*+VLOOKUP($B148,'%Analysis'!$A$4:$S$204,18,0)),"",+$C148*+VLOOKUP($B148,'%Analysis'!$A$4:$S$204,18,0))</f>
        <v/>
      </c>
      <c r="Z148" s="37">
        <f>+'%Analysis'!A150</f>
        <v>0</v>
      </c>
    </row>
    <row r="149" spans="1:26" x14ac:dyDescent="0.2">
      <c r="A149" s="53"/>
      <c r="B149" s="19"/>
      <c r="C149" s="40"/>
      <c r="D149" s="40"/>
      <c r="H149" s="19" t="str">
        <f>IF(ISERROR(+$C149*+VLOOKUP($B149,'%Analysis'!$A$4:$S$204,4,0)),"",+$C149*+VLOOKUP($B149,'%Analysis'!$A$4:$S$204,4,0))</f>
        <v/>
      </c>
      <c r="I149" s="19" t="str">
        <f>IF(ISERROR(+$C149*+VLOOKUP($B149,'%Analysis'!$A$4:$S$204,5,0)),"",+$C149*+VLOOKUP($B149,'%Analysis'!$A$4:$S$204,5,0))</f>
        <v/>
      </c>
      <c r="J149" s="19" t="str">
        <f>IF(ISERROR(+$C149*+VLOOKUP($B149,'%Analysis'!$A$4:$S$204,6,0)),"",+$C149*+VLOOKUP($B149,'%Analysis'!$A$4:$S$204,6,0))</f>
        <v/>
      </c>
      <c r="K149" s="19" t="str">
        <f>IF(ISERROR(+$C149*+VLOOKUP($B149,'%Analysis'!$A$4:$S$204,7,0)),"",+$C149*+VLOOKUP($B149,'%Analysis'!$A$4:$S$204,7,0))</f>
        <v/>
      </c>
      <c r="L149" s="19" t="str">
        <f>IF(ISERROR(+$C149*+VLOOKUP($B149,'%Analysis'!$A$4:$S$204,8,0)),"",+$C149*+VLOOKUP($B149,'%Analysis'!$A$4:$S$204,8,0))</f>
        <v/>
      </c>
      <c r="M149" s="19" t="str">
        <f>IF(ISERROR(+$C149*+VLOOKUP($B149,'%Analysis'!$A$4:$S$204,9,0)),"",+$C149*+VLOOKUP($B149,'%Analysis'!$A$4:$S$204,9,0))</f>
        <v/>
      </c>
      <c r="N149" s="19" t="str">
        <f>IF(ISERROR(+$C149*+VLOOKUP($B149,'%Analysis'!$A$4:$S$204,10,0)),"",+$C149*+VLOOKUP($B149,'%Analysis'!$A$4:$S$204,10,0))</f>
        <v/>
      </c>
      <c r="O149" s="19" t="str">
        <f>IF(ISERROR(+$C149*+VLOOKUP($B149,'%Analysis'!$A$4:$S$204,11,0)),"",+$C149*+VLOOKUP($B149,'%Analysis'!$A$4:$S$204,11,0))</f>
        <v/>
      </c>
      <c r="P149" s="19" t="str">
        <f>IF(ISERROR(+$C149*+VLOOKUP($B149,'%Analysis'!$A$4:$S$204,12,0)),"",+$C149*+VLOOKUP($B149,'%Analysis'!$A$4:$S$204,12,0))</f>
        <v/>
      </c>
      <c r="Q149" s="19" t="str">
        <f>IF(ISERROR(+$C149*+VLOOKUP($B149,'%Analysis'!$A$4:$S$204,13,0)),"",+$C149*+VLOOKUP($B149,'%Analysis'!$A$4:$S$204,13,0))</f>
        <v/>
      </c>
      <c r="R149" s="19" t="str">
        <f>IF(ISERROR(+$C149*+VLOOKUP($B149,'%Analysis'!$A$4:$S$204,14,0)),"",+$C149*+VLOOKUP($B149,'%Analysis'!$A$4:$S$204,14,0))</f>
        <v/>
      </c>
      <c r="S149" s="19" t="str">
        <f>IF(ISERROR(+$C149*+VLOOKUP($B149,'%Analysis'!$A$4:$S$204,15,0)),"",+$C149*+VLOOKUP($B149,'%Analysis'!$A$4:$S$204,15,0))</f>
        <v/>
      </c>
      <c r="T149" s="19" t="str">
        <f>IF(ISERROR(+$C149*+VLOOKUP($B149,'%Analysis'!$A$4:$S$204,16,0)),"",+$C149*+VLOOKUP($B149,'%Analysis'!$A$4:$S$204,16,0))</f>
        <v/>
      </c>
      <c r="U149" s="19" t="str">
        <f>IF(ISERROR(+$C149*+VLOOKUP($B149,'%Analysis'!$A$4:$S$204,17,0)),"",+$C149*+VLOOKUP($B149,'%Analysis'!$A$4:$S$204,17,0))</f>
        <v/>
      </c>
      <c r="V149" s="19" t="str">
        <f>IF(ISERROR(+$C149*+VLOOKUP($B149,'%Analysis'!$A$4:$S$204,18,0)),"",+$C149*+VLOOKUP($B149,'%Analysis'!$A$4:$S$204,18,0))</f>
        <v/>
      </c>
      <c r="Z149" s="37">
        <f>+'%Analysis'!A151</f>
        <v>0</v>
      </c>
    </row>
    <row r="150" spans="1:26" x14ac:dyDescent="0.2">
      <c r="A150" s="53"/>
      <c r="B150" s="19"/>
      <c r="C150" s="40"/>
      <c r="D150" s="40"/>
      <c r="H150" s="19" t="str">
        <f>IF(ISERROR(+$C150*+VLOOKUP($B150,'%Analysis'!$A$4:$S$204,4,0)),"",+$C150*+VLOOKUP($B150,'%Analysis'!$A$4:$S$204,4,0))</f>
        <v/>
      </c>
      <c r="I150" s="19" t="str">
        <f>IF(ISERROR(+$C150*+VLOOKUP($B150,'%Analysis'!$A$4:$S$204,5,0)),"",+$C150*+VLOOKUP($B150,'%Analysis'!$A$4:$S$204,5,0))</f>
        <v/>
      </c>
      <c r="J150" s="19" t="str">
        <f>IF(ISERROR(+$C150*+VLOOKUP($B150,'%Analysis'!$A$4:$S$204,6,0)),"",+$C150*+VLOOKUP($B150,'%Analysis'!$A$4:$S$204,6,0))</f>
        <v/>
      </c>
      <c r="K150" s="19" t="str">
        <f>IF(ISERROR(+$C150*+VLOOKUP($B150,'%Analysis'!$A$4:$S$204,7,0)),"",+$C150*+VLOOKUP($B150,'%Analysis'!$A$4:$S$204,7,0))</f>
        <v/>
      </c>
      <c r="L150" s="19" t="str">
        <f>IF(ISERROR(+$C150*+VLOOKUP($B150,'%Analysis'!$A$4:$S$204,8,0)),"",+$C150*+VLOOKUP($B150,'%Analysis'!$A$4:$S$204,8,0))</f>
        <v/>
      </c>
      <c r="M150" s="19" t="str">
        <f>IF(ISERROR(+$C150*+VLOOKUP($B150,'%Analysis'!$A$4:$S$204,9,0)),"",+$C150*+VLOOKUP($B150,'%Analysis'!$A$4:$S$204,9,0))</f>
        <v/>
      </c>
      <c r="N150" s="19" t="str">
        <f>IF(ISERROR(+$C150*+VLOOKUP($B150,'%Analysis'!$A$4:$S$204,10,0)),"",+$C150*+VLOOKUP($B150,'%Analysis'!$A$4:$S$204,10,0))</f>
        <v/>
      </c>
      <c r="O150" s="19" t="str">
        <f>IF(ISERROR(+$C150*+VLOOKUP($B150,'%Analysis'!$A$4:$S$204,11,0)),"",+$C150*+VLOOKUP($B150,'%Analysis'!$A$4:$S$204,11,0))</f>
        <v/>
      </c>
      <c r="P150" s="19" t="str">
        <f>IF(ISERROR(+$C150*+VLOOKUP($B150,'%Analysis'!$A$4:$S$204,12,0)),"",+$C150*+VLOOKUP($B150,'%Analysis'!$A$4:$S$204,12,0))</f>
        <v/>
      </c>
      <c r="Q150" s="19" t="str">
        <f>IF(ISERROR(+$C150*+VLOOKUP($B150,'%Analysis'!$A$4:$S$204,13,0)),"",+$C150*+VLOOKUP($B150,'%Analysis'!$A$4:$S$204,13,0))</f>
        <v/>
      </c>
      <c r="R150" s="19" t="str">
        <f>IF(ISERROR(+$C150*+VLOOKUP($B150,'%Analysis'!$A$4:$S$204,14,0)),"",+$C150*+VLOOKUP($B150,'%Analysis'!$A$4:$S$204,14,0))</f>
        <v/>
      </c>
      <c r="S150" s="19" t="str">
        <f>IF(ISERROR(+$C150*+VLOOKUP($B150,'%Analysis'!$A$4:$S$204,15,0)),"",+$C150*+VLOOKUP($B150,'%Analysis'!$A$4:$S$204,15,0))</f>
        <v/>
      </c>
      <c r="T150" s="19" t="str">
        <f>IF(ISERROR(+$C150*+VLOOKUP($B150,'%Analysis'!$A$4:$S$204,16,0)),"",+$C150*+VLOOKUP($B150,'%Analysis'!$A$4:$S$204,16,0))</f>
        <v/>
      </c>
      <c r="U150" s="19" t="str">
        <f>IF(ISERROR(+$C150*+VLOOKUP($B150,'%Analysis'!$A$4:$S$204,17,0)),"",+$C150*+VLOOKUP($B150,'%Analysis'!$A$4:$S$204,17,0))</f>
        <v/>
      </c>
      <c r="V150" s="19" t="str">
        <f>IF(ISERROR(+$C150*+VLOOKUP($B150,'%Analysis'!$A$4:$S$204,18,0)),"",+$C150*+VLOOKUP($B150,'%Analysis'!$A$4:$S$204,18,0))</f>
        <v/>
      </c>
      <c r="Z150" s="37">
        <f>+'%Analysis'!A152</f>
        <v>0</v>
      </c>
    </row>
    <row r="151" spans="1:26" x14ac:dyDescent="0.2">
      <c r="A151" s="53"/>
      <c r="B151" s="19"/>
      <c r="C151" s="40"/>
      <c r="D151" s="40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Z151" s="37">
        <f>+'%Analysis'!A153</f>
        <v>0</v>
      </c>
    </row>
    <row r="152" spans="1:26" x14ac:dyDescent="0.2">
      <c r="A152" s="53"/>
      <c r="B152" s="19"/>
      <c r="C152" s="40"/>
      <c r="D152" s="40"/>
      <c r="Z152" s="37">
        <f>+'%Analysis'!A154</f>
        <v>0</v>
      </c>
    </row>
    <row r="153" spans="1:26" x14ac:dyDescent="0.2">
      <c r="A153" s="53"/>
      <c r="B153" s="19"/>
      <c r="C153" s="40" t="s">
        <v>46</v>
      </c>
      <c r="D153" s="40"/>
      <c r="F153" s="19">
        <f>384.248/414.63</f>
        <v>0.92672503195620193</v>
      </c>
      <c r="H153" s="19">
        <f>SUM(H136:H152)</f>
        <v>0</v>
      </c>
      <c r="I153" s="19">
        <f t="shared" ref="I153:V153" si="21">SUM(I136:I152)</f>
        <v>0</v>
      </c>
      <c r="J153" s="19">
        <f t="shared" si="21"/>
        <v>0</v>
      </c>
      <c r="K153" s="19">
        <f t="shared" si="21"/>
        <v>0</v>
      </c>
      <c r="L153" s="19">
        <f t="shared" si="21"/>
        <v>0</v>
      </c>
      <c r="M153" s="19">
        <f t="shared" si="21"/>
        <v>0</v>
      </c>
      <c r="N153" s="19">
        <f t="shared" si="21"/>
        <v>0</v>
      </c>
      <c r="O153" s="19">
        <f t="shared" si="21"/>
        <v>0</v>
      </c>
      <c r="P153" s="19">
        <f t="shared" si="21"/>
        <v>0</v>
      </c>
      <c r="Q153" s="19">
        <f t="shared" si="21"/>
        <v>0</v>
      </c>
      <c r="R153" s="19">
        <f t="shared" si="21"/>
        <v>0</v>
      </c>
      <c r="S153" s="19">
        <f t="shared" si="21"/>
        <v>0</v>
      </c>
      <c r="T153" s="19">
        <f t="shared" si="21"/>
        <v>0</v>
      </c>
      <c r="U153" s="19">
        <f t="shared" si="21"/>
        <v>0</v>
      </c>
      <c r="V153" s="19">
        <f t="shared" si="21"/>
        <v>0</v>
      </c>
      <c r="Z153" s="37">
        <f>+'%Analysis'!A155</f>
        <v>0</v>
      </c>
    </row>
    <row r="154" spans="1:26" x14ac:dyDescent="0.2">
      <c r="A154" s="53"/>
      <c r="B154" s="19"/>
      <c r="C154" s="40" t="s">
        <v>47</v>
      </c>
      <c r="D154" s="40"/>
      <c r="H154" s="75">
        <v>94.195999999999998</v>
      </c>
      <c r="I154" s="75">
        <v>61.978999999999999</v>
      </c>
      <c r="J154" s="75">
        <v>29.881</v>
      </c>
      <c r="K154" s="75">
        <v>56.076999999999998</v>
      </c>
      <c r="L154" s="75">
        <v>103.619</v>
      </c>
      <c r="M154" s="75">
        <v>40.304000000000002</v>
      </c>
      <c r="N154" s="75">
        <v>81.379000000000005</v>
      </c>
      <c r="O154" s="75">
        <v>153.32599999999999</v>
      </c>
      <c r="P154" s="165">
        <v>101.961</v>
      </c>
      <c r="Q154" s="19">
        <v>159.68799999999999</v>
      </c>
      <c r="R154" s="19">
        <v>69.62</v>
      </c>
      <c r="S154" s="19">
        <v>60.084000000000003</v>
      </c>
      <c r="T154" s="19">
        <v>79.866</v>
      </c>
      <c r="U154" s="19">
        <v>44.01</v>
      </c>
      <c r="V154" s="19">
        <v>18.015000000000001</v>
      </c>
      <c r="Z154" s="37">
        <f>+'%Analysis'!A156</f>
        <v>0</v>
      </c>
    </row>
    <row r="155" spans="1:26" x14ac:dyDescent="0.2">
      <c r="A155" s="53"/>
      <c r="B155" s="19"/>
      <c r="C155" s="40" t="s">
        <v>48</v>
      </c>
      <c r="D155" s="40"/>
      <c r="F155" s="40">
        <f>SUM(I155:V155)</f>
        <v>0</v>
      </c>
      <c r="H155" s="53">
        <f>H153/H154</f>
        <v>0</v>
      </c>
      <c r="I155" s="53">
        <f>I153/I154</f>
        <v>0</v>
      </c>
      <c r="J155" s="19">
        <f>J153/J154</f>
        <v>0</v>
      </c>
      <c r="K155" s="19">
        <f>K153/K154</f>
        <v>0</v>
      </c>
      <c r="L155" s="19">
        <f t="shared" ref="L155:V155" si="22">L153/L154</f>
        <v>0</v>
      </c>
      <c r="M155" s="19">
        <f t="shared" si="22"/>
        <v>0</v>
      </c>
      <c r="N155" s="19">
        <f t="shared" si="22"/>
        <v>0</v>
      </c>
      <c r="O155" s="19">
        <f t="shared" si="22"/>
        <v>0</v>
      </c>
      <c r="P155" s="19">
        <f t="shared" si="22"/>
        <v>0</v>
      </c>
      <c r="Q155" s="19">
        <f t="shared" si="22"/>
        <v>0</v>
      </c>
      <c r="R155" s="19">
        <f t="shared" si="22"/>
        <v>0</v>
      </c>
      <c r="S155" s="19">
        <f t="shared" si="22"/>
        <v>0</v>
      </c>
      <c r="T155" s="19">
        <f t="shared" si="22"/>
        <v>0</v>
      </c>
      <c r="U155" s="19">
        <f t="shared" si="22"/>
        <v>0</v>
      </c>
      <c r="V155" s="19">
        <f t="shared" si="22"/>
        <v>0</v>
      </c>
    </row>
    <row r="156" spans="1:26" x14ac:dyDescent="0.2">
      <c r="B156" s="19"/>
      <c r="C156" s="40" t="s">
        <v>49</v>
      </c>
      <c r="D156" s="40"/>
      <c r="H156" s="53">
        <f>SUM(H155:O155)</f>
        <v>0</v>
      </c>
      <c r="I156" s="53"/>
    </row>
    <row r="157" spans="1:26" x14ac:dyDescent="0.2">
      <c r="A157" s="53"/>
      <c r="B157" s="19"/>
      <c r="C157" s="40" t="s">
        <v>50</v>
      </c>
      <c r="D157" s="40"/>
      <c r="H157" s="53" t="e">
        <f t="shared" ref="H157:V157" si="23">H155/$H$156</f>
        <v>#DIV/0!</v>
      </c>
      <c r="I157" s="53" t="e">
        <f t="shared" si="23"/>
        <v>#DIV/0!</v>
      </c>
      <c r="J157" s="19" t="e">
        <f t="shared" si="23"/>
        <v>#DIV/0!</v>
      </c>
      <c r="K157" s="19" t="e">
        <f t="shared" si="23"/>
        <v>#DIV/0!</v>
      </c>
      <c r="L157" s="19" t="e">
        <f t="shared" si="23"/>
        <v>#DIV/0!</v>
      </c>
      <c r="M157" s="19" t="e">
        <f t="shared" si="23"/>
        <v>#DIV/0!</v>
      </c>
      <c r="N157" s="19" t="e">
        <f t="shared" si="23"/>
        <v>#DIV/0!</v>
      </c>
      <c r="O157" s="19" t="e">
        <f t="shared" si="23"/>
        <v>#DIV/0!</v>
      </c>
      <c r="P157" s="19" t="e">
        <f t="shared" si="23"/>
        <v>#DIV/0!</v>
      </c>
      <c r="Q157" s="19" t="e">
        <f t="shared" si="23"/>
        <v>#DIV/0!</v>
      </c>
      <c r="R157" s="19" t="e">
        <f t="shared" si="23"/>
        <v>#DIV/0!</v>
      </c>
      <c r="S157" s="19" t="e">
        <f t="shared" si="23"/>
        <v>#DIV/0!</v>
      </c>
      <c r="T157" s="19" t="e">
        <f t="shared" si="23"/>
        <v>#DIV/0!</v>
      </c>
      <c r="U157" s="19" t="e">
        <f t="shared" si="23"/>
        <v>#DIV/0!</v>
      </c>
      <c r="V157" s="19" t="e">
        <f t="shared" si="23"/>
        <v>#DIV/0!</v>
      </c>
    </row>
    <row r="158" spans="1:26" x14ac:dyDescent="0.2">
      <c r="A158" s="53"/>
      <c r="B158" s="19"/>
      <c r="C158" s="40"/>
      <c r="D158" s="40"/>
    </row>
    <row r="159" spans="1:26" x14ac:dyDescent="0.2">
      <c r="A159" s="53"/>
      <c r="B159" s="19"/>
      <c r="C159" s="40"/>
      <c r="D159" s="40"/>
      <c r="G159" s="40" t="s">
        <v>131</v>
      </c>
      <c r="H159" s="25" t="s">
        <v>2</v>
      </c>
      <c r="I159" s="25" t="s">
        <v>3</v>
      </c>
      <c r="J159" s="25" t="s">
        <v>4</v>
      </c>
      <c r="K159" s="25" t="s">
        <v>5</v>
      </c>
      <c r="L159" s="25" t="s">
        <v>7</v>
      </c>
      <c r="M159" s="25" t="s">
        <v>6</v>
      </c>
      <c r="N159" s="27" t="s">
        <v>8</v>
      </c>
      <c r="O159" s="25" t="s">
        <v>9</v>
      </c>
      <c r="P159" s="25" t="s">
        <v>10</v>
      </c>
      <c r="Q159" s="25" t="s">
        <v>11</v>
      </c>
      <c r="R159" s="25" t="s">
        <v>12</v>
      </c>
      <c r="S159" s="25" t="s">
        <v>13</v>
      </c>
      <c r="T159" s="25" t="s">
        <v>14</v>
      </c>
      <c r="U159" s="25" t="s">
        <v>15</v>
      </c>
      <c r="V159" s="25" t="s">
        <v>16</v>
      </c>
    </row>
    <row r="160" spans="1:26" x14ac:dyDescent="0.2">
      <c r="A160" s="53"/>
      <c r="B160" s="19"/>
      <c r="C160" s="40"/>
      <c r="D160" s="40"/>
      <c r="E160" s="40" t="s">
        <v>134</v>
      </c>
      <c r="F160" s="40" t="s">
        <v>132</v>
      </c>
      <c r="G160" s="40">
        <f>+H153+I153+J153+K153+L153+M153+N153+O153+P153+Q153+R153+S153+T153</f>
        <v>0</v>
      </c>
      <c r="H160" s="19">
        <f>+H153</f>
        <v>0</v>
      </c>
      <c r="I160" s="19">
        <f t="shared" ref="I160:T160" si="24">+I153</f>
        <v>0</v>
      </c>
      <c r="J160" s="19">
        <f t="shared" si="24"/>
        <v>0</v>
      </c>
      <c r="K160" s="19">
        <f t="shared" si="24"/>
        <v>0</v>
      </c>
      <c r="L160" s="19">
        <f t="shared" si="24"/>
        <v>0</v>
      </c>
      <c r="M160" s="19">
        <f t="shared" si="24"/>
        <v>0</v>
      </c>
      <c r="N160" s="19">
        <f t="shared" si="24"/>
        <v>0</v>
      </c>
      <c r="O160" s="19">
        <f t="shared" si="24"/>
        <v>0</v>
      </c>
      <c r="P160" s="19">
        <f t="shared" si="24"/>
        <v>0</v>
      </c>
      <c r="Q160" s="19">
        <f t="shared" si="24"/>
        <v>0</v>
      </c>
      <c r="R160" s="19">
        <f t="shared" si="24"/>
        <v>0</v>
      </c>
      <c r="S160" s="19">
        <f t="shared" si="24"/>
        <v>0</v>
      </c>
      <c r="T160" s="19">
        <f t="shared" si="24"/>
        <v>0</v>
      </c>
    </row>
    <row r="161" spans="1:20" x14ac:dyDescent="0.2">
      <c r="A161" s="53"/>
      <c r="B161" s="19"/>
      <c r="C161" s="40"/>
      <c r="D161" s="40"/>
      <c r="E161" s="40" t="s">
        <v>134</v>
      </c>
      <c r="F161" s="40" t="s">
        <v>133</v>
      </c>
      <c r="G161" s="112" t="e">
        <f>G160/$G$160</f>
        <v>#DIV/0!</v>
      </c>
      <c r="H161" s="112" t="e">
        <f t="shared" ref="H161:T161" si="25">H160/$G$160</f>
        <v>#DIV/0!</v>
      </c>
      <c r="I161" s="112" t="e">
        <f t="shared" si="25"/>
        <v>#DIV/0!</v>
      </c>
      <c r="J161" s="112" t="e">
        <f t="shared" si="25"/>
        <v>#DIV/0!</v>
      </c>
      <c r="K161" s="112" t="e">
        <f t="shared" si="25"/>
        <v>#DIV/0!</v>
      </c>
      <c r="L161" s="112" t="e">
        <f t="shared" si="25"/>
        <v>#DIV/0!</v>
      </c>
      <c r="M161" s="112" t="e">
        <f t="shared" si="25"/>
        <v>#DIV/0!</v>
      </c>
      <c r="N161" s="112" t="e">
        <f t="shared" si="25"/>
        <v>#DIV/0!</v>
      </c>
      <c r="O161" s="113" t="e">
        <f t="shared" si="25"/>
        <v>#DIV/0!</v>
      </c>
      <c r="P161" s="112" t="e">
        <f t="shared" si="25"/>
        <v>#DIV/0!</v>
      </c>
      <c r="Q161" s="112" t="e">
        <f t="shared" si="25"/>
        <v>#DIV/0!</v>
      </c>
      <c r="R161" s="112" t="e">
        <f t="shared" si="25"/>
        <v>#DIV/0!</v>
      </c>
      <c r="S161" s="112" t="e">
        <f t="shared" si="25"/>
        <v>#DIV/0!</v>
      </c>
      <c r="T161" s="112" t="e">
        <f t="shared" si="25"/>
        <v>#DIV/0!</v>
      </c>
    </row>
    <row r="162" spans="1:20" x14ac:dyDescent="0.2">
      <c r="A162" s="53"/>
      <c r="B162" s="19"/>
      <c r="C162" s="40"/>
      <c r="D162" s="40"/>
      <c r="E162" s="40" t="s">
        <v>134</v>
      </c>
    </row>
    <row r="163" spans="1:20" x14ac:dyDescent="0.2">
      <c r="A163" s="53"/>
      <c r="B163" s="19"/>
      <c r="C163" s="40"/>
      <c r="D163" s="40"/>
      <c r="E163" s="40" t="s">
        <v>134</v>
      </c>
    </row>
    <row r="164" spans="1:20" ht="13.5" thickBot="1" x14ac:dyDescent="0.25">
      <c r="A164" s="53"/>
      <c r="B164" s="19"/>
      <c r="C164" s="40"/>
      <c r="D164" s="40"/>
      <c r="E164" s="40" t="s">
        <v>134</v>
      </c>
    </row>
    <row r="165" spans="1:20" ht="13.5" thickBot="1" x14ac:dyDescent="0.25">
      <c r="A165" s="53"/>
      <c r="B165" s="19"/>
      <c r="C165" s="40"/>
      <c r="D165" s="40"/>
      <c r="G165" s="114"/>
    </row>
    <row r="166" spans="1:20" x14ac:dyDescent="0.2">
      <c r="A166" s="53"/>
      <c r="B166" s="19"/>
      <c r="C166" s="40"/>
      <c r="D166" s="40"/>
    </row>
    <row r="167" spans="1:20" x14ac:dyDescent="0.2">
      <c r="A167" s="53"/>
      <c r="B167" s="19"/>
      <c r="C167" s="40"/>
      <c r="D167" s="40"/>
    </row>
    <row r="168" spans="1:20" x14ac:dyDescent="0.2">
      <c r="A168" s="53"/>
      <c r="B168" s="19"/>
      <c r="C168" s="40"/>
      <c r="D168" s="40"/>
    </row>
    <row r="169" spans="1:20" x14ac:dyDescent="0.2">
      <c r="A169" s="53"/>
      <c r="B169" s="19"/>
      <c r="C169" s="40"/>
      <c r="D169" s="40"/>
    </row>
    <row r="170" spans="1:20" x14ac:dyDescent="0.2">
      <c r="A170" s="53"/>
      <c r="B170" s="19"/>
      <c r="C170" s="40"/>
      <c r="D170" s="40"/>
    </row>
    <row r="171" spans="1:20" x14ac:dyDescent="0.2">
      <c r="A171" s="53"/>
      <c r="B171" s="19"/>
      <c r="C171" s="40"/>
      <c r="D171" s="40"/>
    </row>
    <row r="172" spans="1:20" x14ac:dyDescent="0.2">
      <c r="A172" s="53"/>
      <c r="B172" s="19"/>
      <c r="C172" s="40"/>
      <c r="D172" s="40"/>
    </row>
    <row r="173" spans="1:20" x14ac:dyDescent="0.2">
      <c r="A173" s="53"/>
      <c r="B173" s="19"/>
      <c r="C173" s="40"/>
      <c r="D173" s="40"/>
    </row>
    <row r="174" spans="1:20" x14ac:dyDescent="0.2">
      <c r="A174" s="53"/>
      <c r="B174" s="19"/>
      <c r="C174" s="40"/>
      <c r="D174" s="40"/>
    </row>
    <row r="175" spans="1:20" x14ac:dyDescent="0.2">
      <c r="A175" s="53"/>
      <c r="B175" s="19"/>
      <c r="C175" s="40"/>
      <c r="D175" s="40"/>
    </row>
    <row r="176" spans="1:20" x14ac:dyDescent="0.2">
      <c r="A176" s="53"/>
      <c r="B176" s="19"/>
      <c r="C176" s="40"/>
      <c r="D176" s="40"/>
    </row>
    <row r="177" spans="1:4" x14ac:dyDescent="0.2">
      <c r="A177" s="53"/>
      <c r="B177" s="19"/>
      <c r="C177" s="40"/>
      <c r="D177" s="40"/>
    </row>
    <row r="178" spans="1:4" x14ac:dyDescent="0.2">
      <c r="A178" s="53"/>
      <c r="B178" s="19"/>
      <c r="C178" s="40"/>
      <c r="D178" s="40"/>
    </row>
    <row r="179" spans="1:4" x14ac:dyDescent="0.2">
      <c r="A179" s="53"/>
      <c r="B179" s="19"/>
      <c r="C179" s="40"/>
      <c r="D179" s="40"/>
    </row>
    <row r="180" spans="1:4" x14ac:dyDescent="0.2">
      <c r="A180" s="53"/>
      <c r="B180" s="19"/>
      <c r="C180" s="40"/>
      <c r="D180" s="40"/>
    </row>
    <row r="181" spans="1:4" x14ac:dyDescent="0.2">
      <c r="A181" s="53"/>
      <c r="B181" s="19"/>
      <c r="C181" s="40"/>
      <c r="D181" s="40"/>
    </row>
    <row r="182" spans="1:4" x14ac:dyDescent="0.2">
      <c r="A182" s="53"/>
      <c r="B182" s="19"/>
      <c r="C182" s="40"/>
      <c r="D182" s="40"/>
    </row>
    <row r="183" spans="1:4" x14ac:dyDescent="0.2">
      <c r="A183" s="53"/>
      <c r="B183" s="19"/>
      <c r="C183" s="40"/>
      <c r="D183" s="40"/>
    </row>
    <row r="184" spans="1:4" x14ac:dyDescent="0.2">
      <c r="A184" s="53"/>
      <c r="B184" s="19"/>
      <c r="C184" s="40"/>
      <c r="D184" s="40"/>
    </row>
    <row r="185" spans="1:4" x14ac:dyDescent="0.2">
      <c r="A185" s="53"/>
      <c r="B185" s="19"/>
      <c r="C185" s="40"/>
      <c r="D185" s="40"/>
    </row>
    <row r="186" spans="1:4" x14ac:dyDescent="0.2">
      <c r="A186" s="53"/>
      <c r="B186" s="19"/>
      <c r="C186" s="40"/>
      <c r="D186" s="40"/>
    </row>
    <row r="187" spans="1:4" x14ac:dyDescent="0.2">
      <c r="A187" s="53"/>
      <c r="B187" s="19"/>
      <c r="C187" s="40"/>
      <c r="D187" s="40"/>
    </row>
    <row r="188" spans="1:4" x14ac:dyDescent="0.2">
      <c r="A188" s="53"/>
      <c r="B188" s="19"/>
      <c r="C188" s="40"/>
      <c r="D188" s="40"/>
    </row>
    <row r="189" spans="1:4" x14ac:dyDescent="0.2">
      <c r="A189" s="53"/>
      <c r="B189" s="19"/>
      <c r="C189" s="40"/>
      <c r="D189" s="40"/>
    </row>
    <row r="190" spans="1:4" x14ac:dyDescent="0.2">
      <c r="A190" s="53"/>
      <c r="B190" s="19"/>
      <c r="C190" s="40"/>
      <c r="D190" s="40"/>
    </row>
    <row r="191" spans="1:4" x14ac:dyDescent="0.2">
      <c r="A191" s="53"/>
      <c r="B191" s="19"/>
      <c r="C191" s="40"/>
      <c r="D191" s="40"/>
    </row>
    <row r="192" spans="1:4" x14ac:dyDescent="0.2">
      <c r="A192" s="53"/>
      <c r="B192" s="19"/>
      <c r="C192" s="40"/>
      <c r="D192" s="40"/>
    </row>
    <row r="193" spans="1:7" s="19" customFormat="1" x14ac:dyDescent="0.2">
      <c r="A193" s="53"/>
      <c r="C193" s="40"/>
      <c r="D193" s="40"/>
      <c r="E193" s="40"/>
      <c r="F193" s="40"/>
      <c r="G193" s="40"/>
    </row>
    <row r="194" spans="1:7" s="19" customFormat="1" x14ac:dyDescent="0.2">
      <c r="A194" s="53"/>
      <c r="C194" s="40"/>
      <c r="D194" s="40"/>
      <c r="E194" s="40"/>
      <c r="F194" s="40"/>
      <c r="G194" s="40"/>
    </row>
    <row r="195" spans="1:7" s="19" customFormat="1" x14ac:dyDescent="0.2">
      <c r="A195" s="53"/>
      <c r="C195" s="40"/>
      <c r="D195" s="40"/>
      <c r="E195" s="40"/>
      <c r="F195" s="40"/>
      <c r="G195" s="40"/>
    </row>
    <row r="196" spans="1:7" s="19" customFormat="1" x14ac:dyDescent="0.2">
      <c r="A196" s="53"/>
      <c r="C196" s="40"/>
      <c r="D196" s="40"/>
      <c r="E196" s="40"/>
      <c r="F196" s="40"/>
      <c r="G196" s="40"/>
    </row>
    <row r="197" spans="1:7" s="19" customFormat="1" x14ac:dyDescent="0.2">
      <c r="A197" s="53"/>
      <c r="C197" s="40"/>
      <c r="D197" s="40"/>
      <c r="E197" s="40"/>
      <c r="F197" s="40"/>
      <c r="G197" s="40"/>
    </row>
    <row r="198" spans="1:7" s="19" customFormat="1" x14ac:dyDescent="0.2">
      <c r="A198" s="53"/>
      <c r="C198" s="40"/>
      <c r="D198" s="40"/>
      <c r="E198" s="40"/>
      <c r="F198" s="40"/>
      <c r="G198" s="40"/>
    </row>
    <row r="199" spans="1:7" s="19" customFormat="1" x14ac:dyDescent="0.2">
      <c r="A199" s="53"/>
      <c r="C199" s="40"/>
      <c r="D199" s="40"/>
      <c r="E199" s="40"/>
      <c r="F199" s="40"/>
      <c r="G199" s="40"/>
    </row>
    <row r="200" spans="1:7" s="19" customFormat="1" x14ac:dyDescent="0.2">
      <c r="A200" s="53"/>
      <c r="C200" s="40"/>
      <c r="D200" s="40"/>
      <c r="E200" s="40"/>
      <c r="F200" s="40"/>
      <c r="G200" s="40"/>
    </row>
    <row r="201" spans="1:7" s="19" customFormat="1" x14ac:dyDescent="0.2">
      <c r="A201" s="53"/>
      <c r="C201" s="40"/>
      <c r="D201" s="40"/>
      <c r="E201" s="40"/>
      <c r="F201" s="40"/>
      <c r="G201" s="40"/>
    </row>
    <row r="202" spans="1:7" s="19" customFormat="1" x14ac:dyDescent="0.2">
      <c r="A202" s="53"/>
      <c r="C202" s="40"/>
      <c r="D202" s="40"/>
      <c r="E202" s="40"/>
      <c r="F202" s="40"/>
      <c r="G202" s="40"/>
    </row>
    <row r="203" spans="1:7" s="19" customFormat="1" x14ac:dyDescent="0.2">
      <c r="A203" s="53"/>
      <c r="C203" s="40"/>
      <c r="D203" s="40"/>
      <c r="E203" s="40"/>
      <c r="F203" s="40"/>
      <c r="G203" s="40"/>
    </row>
    <row r="204" spans="1:7" s="19" customFormat="1" x14ac:dyDescent="0.2">
      <c r="A204" s="53"/>
      <c r="C204" s="40"/>
      <c r="D204" s="40"/>
      <c r="E204" s="40"/>
      <c r="F204" s="40"/>
      <c r="G204" s="40"/>
    </row>
    <row r="205" spans="1:7" s="19" customFormat="1" x14ac:dyDescent="0.2">
      <c r="A205" s="53"/>
      <c r="C205" s="40"/>
      <c r="D205" s="40"/>
      <c r="E205" s="40"/>
      <c r="F205" s="40"/>
      <c r="G205" s="40"/>
    </row>
    <row r="206" spans="1:7" s="19" customFormat="1" x14ac:dyDescent="0.2">
      <c r="A206" s="53"/>
      <c r="C206" s="40"/>
      <c r="D206" s="40"/>
      <c r="E206" s="40"/>
      <c r="F206" s="40"/>
      <c r="G206" s="40"/>
    </row>
    <row r="207" spans="1:7" s="19" customFormat="1" x14ac:dyDescent="0.2">
      <c r="A207" s="53"/>
      <c r="C207" s="40"/>
      <c r="D207" s="40"/>
      <c r="E207" s="40"/>
      <c r="F207" s="40"/>
      <c r="G207" s="40"/>
    </row>
  </sheetData>
  <mergeCells count="4">
    <mergeCell ref="F3:M3"/>
    <mergeCell ref="B5:D5"/>
    <mergeCell ref="F9:M9"/>
    <mergeCell ref="F15:M15"/>
  </mergeCells>
  <conditionalFormatting sqref="H19:K19 K18 F18:G18 I18">
    <cfRule type="cellIs" dxfId="5" priority="1" stopIfTrue="1" operator="lessThan">
      <formula>0.0001</formula>
    </cfRule>
  </conditionalFormatting>
  <conditionalFormatting sqref="F17:M17 F19:G19 L19:M19">
    <cfRule type="cellIs" dxfId="4" priority="2" stopIfTrue="1" operator="lessThan">
      <formula>0.005</formula>
    </cfRule>
    <cfRule type="cellIs" dxfId="3" priority="3" stopIfTrue="1" operator="greaterThan">
      <formula>0.005</formula>
    </cfRule>
  </conditionalFormatting>
  <dataValidations count="2">
    <dataValidation type="list" allowBlank="1" showInputMessage="1" showErrorMessage="1" sqref="B7:B18">
      <formula1>$Z$2:$Z$128</formula1>
    </dataValidation>
    <dataValidation type="list" allowBlank="1" showInputMessage="1" showErrorMessage="1" sqref="O14">
      <formula1>#REF!</formula1>
    </dataValidation>
  </dataValidations>
  <pageMargins left="0.7" right="0.7" top="0.75" bottom="0.75" header="0.3" footer="0.3"/>
  <pageSetup scale="70" orientation="portrait" horizontalDpi="4294967295" verticalDpi="4294967293" r:id="rId1"/>
  <headerFooter alignWithMargins="0">
    <oddFooter>&amp;C&amp;F</oddFooter>
  </headerFooter>
  <drawing r:id="rId2"/>
  <legacyDrawing r:id="rId3"/>
  <controls>
    <mc:AlternateContent xmlns:mc="http://schemas.openxmlformats.org/markup-compatibility/2006">
      <mc:Choice Requires="x14">
        <control shapeId="68610" r:id="rId4" name="CheckBox1">
          <controlPr autoLine="0" linkedCell="M2" r:id="rId5">
            <anchor moveWithCells="1">
              <from>
                <xdr:col>10</xdr:col>
                <xdr:colOff>333375</xdr:colOff>
                <xdr:row>1</xdr:row>
                <xdr:rowOff>38100</xdr:rowOff>
              </from>
              <to>
                <xdr:col>13</xdr:col>
                <xdr:colOff>152400</xdr:colOff>
                <xdr:row>1</xdr:row>
                <xdr:rowOff>314325</xdr:rowOff>
              </to>
            </anchor>
          </controlPr>
        </control>
      </mc:Choice>
      <mc:Fallback>
        <control shapeId="68610" r:id="rId4" name="CheckBox1"/>
      </mc:Fallback>
    </mc:AlternateContent>
    <mc:AlternateContent xmlns:mc="http://schemas.openxmlformats.org/markup-compatibility/2006">
      <mc:Choice Requires="x14">
        <control shapeId="68611" r:id="rId6" name="CheckBox2">
          <controlPr autoLine="0" linkedCell="J2" r:id="rId7">
            <anchor moveWithCells="1">
              <from>
                <xdr:col>8</xdr:col>
                <xdr:colOff>66675</xdr:colOff>
                <xdr:row>1</xdr:row>
                <xdr:rowOff>47625</xdr:rowOff>
              </from>
              <to>
                <xdr:col>10</xdr:col>
                <xdr:colOff>371475</xdr:colOff>
                <xdr:row>1</xdr:row>
                <xdr:rowOff>304800</xdr:rowOff>
              </to>
            </anchor>
          </controlPr>
        </control>
      </mc:Choice>
      <mc:Fallback>
        <control shapeId="68611" r:id="rId6" name="CheckBox2"/>
      </mc:Fallback>
    </mc:AlternateContent>
    <mc:AlternateContent xmlns:mc="http://schemas.openxmlformats.org/markup-compatibility/2006">
      <mc:Choice Requires="x14">
        <control shapeId="68609" r:id="rId8" name="Button 1">
          <controlPr defaultSize="0" print="0" autoFill="0" autoPict="0" macro="[0]!FitScreen1">
            <anchor moveWithCells="1">
              <from>
                <xdr:col>6</xdr:col>
                <xdr:colOff>257175</xdr:colOff>
                <xdr:row>0</xdr:row>
                <xdr:rowOff>38100</xdr:rowOff>
              </from>
              <to>
                <xdr:col>7</xdr:col>
                <xdr:colOff>371475</xdr:colOff>
                <xdr:row>1</xdr:row>
                <xdr:rowOff>295275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B207"/>
  <sheetViews>
    <sheetView showGridLines="0" showRowColHeaders="0" showOutlineSymbols="0" zoomScale="114" zoomScaleNormal="114" workbookViewId="0">
      <selection activeCell="B7" sqref="B7"/>
    </sheetView>
  </sheetViews>
  <sheetFormatPr defaultRowHeight="12.75" x14ac:dyDescent="0.2"/>
  <cols>
    <col min="1" max="1" width="5" style="136" bestFit="1" customWidth="1"/>
    <col min="2" max="2" width="15.85546875" style="34" customWidth="1"/>
    <col min="3" max="4" width="9" style="43" customWidth="1"/>
    <col min="5" max="5" width="8.5703125" style="40" customWidth="1"/>
    <col min="6" max="7" width="9" style="40" customWidth="1"/>
    <col min="8" max="9" width="9" style="19" customWidth="1"/>
    <col min="10" max="10" width="9.42578125" style="19" customWidth="1"/>
    <col min="11" max="11" width="9" style="19" customWidth="1"/>
    <col min="12" max="12" width="10.28515625" style="19" customWidth="1"/>
    <col min="13" max="22" width="9" style="19" customWidth="1"/>
    <col min="23" max="25" width="9.140625" style="19"/>
    <col min="26" max="26" width="9.140625" style="19" customWidth="1"/>
    <col min="27" max="28" width="9.140625" style="19"/>
    <col min="29" max="16384" width="9.140625" style="34"/>
  </cols>
  <sheetData>
    <row r="1" spans="1:28" s="73" customFormat="1" x14ac:dyDescent="0.2">
      <c r="A1" s="13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</row>
    <row r="2" spans="1:28" ht="27" thickBot="1" x14ac:dyDescent="0.45">
      <c r="A2" s="132"/>
      <c r="B2" s="35" t="s">
        <v>65</v>
      </c>
      <c r="C2" s="62"/>
      <c r="D2" s="94" t="s">
        <v>158</v>
      </c>
      <c r="E2" s="33"/>
      <c r="F2" s="33"/>
      <c r="G2" s="23"/>
      <c r="H2" s="23"/>
      <c r="I2" s="23"/>
      <c r="J2" s="29" t="b">
        <v>1</v>
      </c>
      <c r="L2" s="23"/>
      <c r="M2" s="29" t="b">
        <v>0</v>
      </c>
      <c r="N2" s="23"/>
    </row>
    <row r="3" spans="1:28" ht="18" customHeight="1" thickBot="1" x14ac:dyDescent="0.3">
      <c r="A3" s="132"/>
      <c r="B3" s="28"/>
      <c r="C3" s="36"/>
      <c r="D3" s="94" t="s">
        <v>79</v>
      </c>
      <c r="E3" s="33"/>
      <c r="F3" s="216" t="s">
        <v>81</v>
      </c>
      <c r="G3" s="217"/>
      <c r="H3" s="217"/>
      <c r="I3" s="217"/>
      <c r="J3" s="217"/>
      <c r="K3" s="217"/>
      <c r="L3" s="217"/>
      <c r="M3" s="218"/>
      <c r="N3" s="64"/>
      <c r="R3" s="23"/>
      <c r="S3" s="23"/>
      <c r="T3" s="23"/>
      <c r="Z3" s="37" t="str">
        <f>+'%Analysis'!A5</f>
        <v>Al2O3</v>
      </c>
    </row>
    <row r="4" spans="1:28" ht="18" customHeight="1" thickBot="1" x14ac:dyDescent="0.3">
      <c r="A4" s="132"/>
      <c r="B4" s="14"/>
      <c r="C4" s="32"/>
      <c r="D4" s="32"/>
      <c r="E4" s="102" t="s">
        <v>41</v>
      </c>
      <c r="F4" s="169" t="s">
        <v>113</v>
      </c>
      <c r="G4" s="170" t="e">
        <f>C92</f>
        <v>#DIV/0!</v>
      </c>
      <c r="H4" s="169" t="s">
        <v>5</v>
      </c>
      <c r="I4" s="170" t="e">
        <f>F92</f>
        <v>#DIV/0!</v>
      </c>
      <c r="J4" s="171" t="s">
        <v>114</v>
      </c>
      <c r="K4" s="168" t="e">
        <f>L92</f>
        <v>#DIV/0!</v>
      </c>
      <c r="L4" s="171" t="s">
        <v>115</v>
      </c>
      <c r="M4" s="168" t="e">
        <f>M92</f>
        <v>#DIV/0!</v>
      </c>
      <c r="O4" s="23"/>
      <c r="P4" s="23"/>
      <c r="R4" s="23"/>
      <c r="S4" s="23"/>
      <c r="T4" s="23"/>
      <c r="Z4" s="37" t="str">
        <f>+'%Analysis'!A6</f>
        <v>Albany Slip</v>
      </c>
    </row>
    <row r="5" spans="1:28" ht="18" customHeight="1" thickBot="1" x14ac:dyDescent="0.3">
      <c r="A5" s="132"/>
      <c r="B5" s="219" t="s">
        <v>63</v>
      </c>
      <c r="C5" s="220"/>
      <c r="D5" s="221"/>
      <c r="E5" s="103" t="s">
        <v>112</v>
      </c>
      <c r="F5" s="172" t="s">
        <v>116</v>
      </c>
      <c r="G5" s="173" t="e">
        <f>D92</f>
        <v>#DIV/0!</v>
      </c>
      <c r="H5" s="172" t="s">
        <v>6</v>
      </c>
      <c r="I5" s="173" t="e">
        <f>G92</f>
        <v>#DIV/0!</v>
      </c>
      <c r="J5" s="174" t="s">
        <v>117</v>
      </c>
      <c r="K5" s="175" t="e">
        <f>+K92</f>
        <v>#DIV/0!</v>
      </c>
      <c r="L5" s="176" t="s">
        <v>118</v>
      </c>
      <c r="M5" s="168" t="e">
        <f>M4/K4</f>
        <v>#DIV/0!</v>
      </c>
      <c r="R5" s="23"/>
      <c r="S5" s="23"/>
      <c r="T5" s="23"/>
      <c r="U5" s="23"/>
      <c r="V5" s="23"/>
      <c r="Z5" s="37" t="str">
        <f>+'%Analysis'!A7</f>
        <v>Alumina Hydrate</v>
      </c>
    </row>
    <row r="6" spans="1:28" ht="18" customHeight="1" thickBot="1" x14ac:dyDescent="0.3">
      <c r="A6" s="133"/>
      <c r="B6" s="16" t="s">
        <v>0</v>
      </c>
      <c r="C6" s="17" t="s">
        <v>44</v>
      </c>
      <c r="D6" s="18" t="s">
        <v>57</v>
      </c>
      <c r="E6" s="104">
        <v>100</v>
      </c>
      <c r="F6" s="177" t="s">
        <v>119</v>
      </c>
      <c r="G6" s="178" t="e">
        <f>E92</f>
        <v>#DIV/0!</v>
      </c>
      <c r="H6" s="172" t="s">
        <v>7</v>
      </c>
      <c r="I6" s="173" t="e">
        <f>I92</f>
        <v>#DIV/0!</v>
      </c>
      <c r="J6" s="177" t="s">
        <v>120</v>
      </c>
      <c r="K6" s="178" t="e">
        <f>Q155/$H$156</f>
        <v>#DIV/0!</v>
      </c>
      <c r="L6" s="179"/>
      <c r="M6" s="180"/>
      <c r="R6" s="23"/>
      <c r="S6" s="23"/>
      <c r="T6" s="23"/>
      <c r="U6" s="23"/>
      <c r="V6" s="23"/>
      <c r="Z6" s="37" t="str">
        <f>+'%Analysis'!A8</f>
        <v>B2O3</v>
      </c>
    </row>
    <row r="7" spans="1:28" ht="18" customHeight="1" x14ac:dyDescent="0.2">
      <c r="A7" s="134"/>
      <c r="B7" s="96"/>
      <c r="C7" s="97"/>
      <c r="D7" s="98" t="str">
        <f t="shared" ref="D7:D18" si="0">IF(C7&gt;0,C7/SUM($C$7:$C$18)*100,"")</f>
        <v/>
      </c>
      <c r="E7" s="105" t="str">
        <f>IF(C7&gt;0,D7*$E$6*0.01,"")</f>
        <v/>
      </c>
      <c r="F7" s="169" t="s">
        <v>121</v>
      </c>
      <c r="G7" s="170" t="e">
        <f>SUM(G4:G6)</f>
        <v>#DIV/0!</v>
      </c>
      <c r="H7" s="172" t="s">
        <v>8</v>
      </c>
      <c r="I7" s="173" t="e">
        <f>J92</f>
        <v>#DIV/0!</v>
      </c>
      <c r="J7" s="181"/>
      <c r="K7" s="180"/>
      <c r="L7" s="182"/>
      <c r="M7" s="183"/>
      <c r="R7" s="23"/>
      <c r="S7" s="23"/>
      <c r="T7" s="23"/>
      <c r="U7" s="23"/>
      <c r="V7" s="23"/>
      <c r="Z7" s="37" t="str">
        <f>+'%Analysis'!A9</f>
        <v>BaCarb</v>
      </c>
    </row>
    <row r="8" spans="1:28" ht="18" customHeight="1" thickBot="1" x14ac:dyDescent="0.25">
      <c r="A8" s="134"/>
      <c r="B8" s="96"/>
      <c r="C8" s="97"/>
      <c r="D8" s="98" t="str">
        <f t="shared" si="0"/>
        <v/>
      </c>
      <c r="E8" s="105" t="str">
        <f t="shared" ref="E8:E18" si="1">IF(C8&gt;0,D8*$E$6*0.01,"")</f>
        <v/>
      </c>
      <c r="F8" s="177" t="s">
        <v>45</v>
      </c>
      <c r="G8" s="178" t="e">
        <f>SUM(I4:I8)</f>
        <v>#DIV/0!</v>
      </c>
      <c r="H8" s="177" t="s">
        <v>9</v>
      </c>
      <c r="I8" s="178" t="e">
        <f>H92</f>
        <v>#DIV/0!</v>
      </c>
      <c r="J8" s="183"/>
      <c r="K8" s="184"/>
      <c r="L8" s="179"/>
      <c r="M8" s="180"/>
      <c r="O8" s="65"/>
      <c r="P8" s="65"/>
      <c r="R8" s="23"/>
      <c r="S8" s="23"/>
      <c r="T8" s="23"/>
      <c r="U8" s="23"/>
      <c r="V8" s="23"/>
      <c r="Z8" s="37" t="str">
        <f>+'%Analysis'!A10</f>
        <v>BaO</v>
      </c>
    </row>
    <row r="9" spans="1:28" ht="18" customHeight="1" thickBot="1" x14ac:dyDescent="0.25">
      <c r="A9" s="134"/>
      <c r="B9" s="96"/>
      <c r="C9" s="97"/>
      <c r="D9" s="98" t="str">
        <f t="shared" si="0"/>
        <v/>
      </c>
      <c r="E9" s="105" t="str">
        <f t="shared" si="1"/>
        <v/>
      </c>
      <c r="F9" s="222" t="s">
        <v>78</v>
      </c>
      <c r="G9" s="223"/>
      <c r="H9" s="223"/>
      <c r="I9" s="223"/>
      <c r="J9" s="223"/>
      <c r="K9" s="223"/>
      <c r="L9" s="223"/>
      <c r="M9" s="224"/>
      <c r="O9" s="101"/>
      <c r="P9" s="65"/>
      <c r="Q9" s="23"/>
      <c r="R9" s="23"/>
      <c r="S9" s="23"/>
      <c r="T9" s="23"/>
      <c r="U9" s="23"/>
      <c r="V9" s="23"/>
      <c r="Z9" s="37" t="str">
        <f>+'%Analysis'!A11</f>
        <v>Barnard Slip</v>
      </c>
    </row>
    <row r="10" spans="1:28" ht="18" customHeight="1" thickBot="1" x14ac:dyDescent="0.25">
      <c r="A10" s="134"/>
      <c r="B10" s="96"/>
      <c r="C10" s="97"/>
      <c r="D10" s="98" t="str">
        <f t="shared" si="0"/>
        <v/>
      </c>
      <c r="E10" s="105" t="str">
        <f t="shared" si="1"/>
        <v/>
      </c>
      <c r="F10" s="169" t="s">
        <v>113</v>
      </c>
      <c r="G10" s="170" t="e">
        <f>C89</f>
        <v>#DIV/0!</v>
      </c>
      <c r="H10" s="169" t="s">
        <v>5</v>
      </c>
      <c r="I10" s="170" t="e">
        <f>F89</f>
        <v>#DIV/0!</v>
      </c>
      <c r="J10" s="185" t="s">
        <v>114</v>
      </c>
      <c r="K10" s="186" t="e">
        <f>L89</f>
        <v>#DIV/0!</v>
      </c>
      <c r="L10" s="171" t="s">
        <v>115</v>
      </c>
      <c r="M10" s="168" t="e">
        <f>M89</f>
        <v>#DIV/0!</v>
      </c>
      <c r="N10" s="91"/>
      <c r="O10" s="127"/>
      <c r="P10" s="66"/>
      <c r="R10" s="23"/>
      <c r="S10" s="23"/>
      <c r="T10" s="23"/>
      <c r="U10" s="23"/>
      <c r="V10" s="23"/>
      <c r="Z10" s="37" t="str">
        <f>+'%Analysis'!A12</f>
        <v>Bentone MA</v>
      </c>
    </row>
    <row r="11" spans="1:28" ht="18" customHeight="1" thickBot="1" x14ac:dyDescent="0.25">
      <c r="A11" s="134"/>
      <c r="B11" s="96"/>
      <c r="C11" s="97"/>
      <c r="D11" s="98" t="str">
        <f t="shared" si="0"/>
        <v/>
      </c>
      <c r="E11" s="105" t="str">
        <f t="shared" si="1"/>
        <v/>
      </c>
      <c r="F11" s="172" t="s">
        <v>116</v>
      </c>
      <c r="G11" s="173" t="e">
        <f>D89</f>
        <v>#DIV/0!</v>
      </c>
      <c r="H11" s="172" t="s">
        <v>6</v>
      </c>
      <c r="I11" s="173" t="e">
        <f>G89</f>
        <v>#DIV/0!</v>
      </c>
      <c r="J11" s="171" t="s">
        <v>117</v>
      </c>
      <c r="K11" s="168" t="e">
        <f>K89</f>
        <v>#DIV/0!</v>
      </c>
      <c r="L11" s="176" t="s">
        <v>118</v>
      </c>
      <c r="M11" s="168" t="e">
        <f>M10/K10</f>
        <v>#DIV/0!</v>
      </c>
      <c r="N11" s="69"/>
      <c r="O11" s="128"/>
      <c r="P11" s="66"/>
      <c r="R11" s="23"/>
      <c r="S11" s="23"/>
      <c r="T11" s="23"/>
      <c r="U11" s="23"/>
      <c r="V11" s="23"/>
      <c r="Z11" s="37" t="str">
        <f>+'%Analysis'!A13</f>
        <v>Bentonite</v>
      </c>
    </row>
    <row r="12" spans="1:28" ht="18" customHeight="1" thickBot="1" x14ac:dyDescent="0.25">
      <c r="A12" s="134"/>
      <c r="B12" s="96"/>
      <c r="C12" s="97"/>
      <c r="D12" s="98" t="str">
        <f t="shared" si="0"/>
        <v/>
      </c>
      <c r="E12" s="105" t="str">
        <f t="shared" si="1"/>
        <v/>
      </c>
      <c r="F12" s="177" t="s">
        <v>119</v>
      </c>
      <c r="G12" s="178" t="e">
        <f>E89</f>
        <v>#DIV/0!</v>
      </c>
      <c r="H12" s="172" t="s">
        <v>7</v>
      </c>
      <c r="I12" s="173" t="e">
        <f>I89</f>
        <v>#DIV/0!</v>
      </c>
      <c r="J12" s="187"/>
      <c r="K12" s="188"/>
      <c r="L12" s="189"/>
      <c r="M12" s="189"/>
      <c r="N12" s="91"/>
      <c r="O12" s="129"/>
      <c r="P12" s="89"/>
      <c r="Q12" s="89"/>
      <c r="R12" s="89"/>
      <c r="S12" s="23"/>
      <c r="T12" s="23"/>
      <c r="U12" s="23"/>
      <c r="V12" s="23"/>
      <c r="Z12" s="37" t="str">
        <f>+'%Analysis'!A14</f>
        <v>BoneAsh</v>
      </c>
    </row>
    <row r="13" spans="1:28" ht="18" customHeight="1" x14ac:dyDescent="0.2">
      <c r="A13" s="134"/>
      <c r="B13" s="96"/>
      <c r="C13" s="97"/>
      <c r="D13" s="98" t="str">
        <f t="shared" si="0"/>
        <v/>
      </c>
      <c r="E13" s="105" t="str">
        <f t="shared" si="1"/>
        <v/>
      </c>
      <c r="F13" s="169" t="s">
        <v>121</v>
      </c>
      <c r="G13" s="170" t="e">
        <f>SUM(G10:G12)</f>
        <v>#DIV/0!</v>
      </c>
      <c r="H13" s="172" t="s">
        <v>8</v>
      </c>
      <c r="I13" s="173" t="e">
        <f>J89</f>
        <v>#DIV/0!</v>
      </c>
      <c r="J13" s="190"/>
      <c r="K13" s="191"/>
      <c r="L13" s="191"/>
      <c r="M13" s="191"/>
      <c r="N13" s="95"/>
      <c r="O13" s="126"/>
      <c r="P13" s="66"/>
      <c r="Q13" s="90"/>
      <c r="R13" s="90"/>
      <c r="S13" s="23"/>
      <c r="T13" s="23"/>
      <c r="U13" s="23"/>
      <c r="V13" s="23"/>
      <c r="Z13" s="37" t="str">
        <f>+'%Analysis'!A15</f>
        <v>Borax</v>
      </c>
    </row>
    <row r="14" spans="1:28" ht="18" customHeight="1" thickBot="1" x14ac:dyDescent="0.25">
      <c r="A14" s="134"/>
      <c r="B14" s="96"/>
      <c r="C14" s="97"/>
      <c r="D14" s="98" t="str">
        <f t="shared" si="0"/>
        <v/>
      </c>
      <c r="E14" s="105" t="str">
        <f t="shared" si="1"/>
        <v/>
      </c>
      <c r="F14" s="192" t="s">
        <v>45</v>
      </c>
      <c r="G14" s="193" t="e">
        <f>SUM(I10:I14)</f>
        <v>#DIV/0!</v>
      </c>
      <c r="H14" s="192" t="s">
        <v>9</v>
      </c>
      <c r="I14" s="193" t="e">
        <f>H89</f>
        <v>#DIV/0!</v>
      </c>
      <c r="J14" s="194"/>
      <c r="K14" s="195"/>
      <c r="L14" s="195"/>
      <c r="M14" s="195"/>
      <c r="N14" s="88"/>
      <c r="O14" s="129"/>
      <c r="P14" s="89"/>
      <c r="Q14" s="89"/>
      <c r="R14" s="89"/>
      <c r="S14" s="23"/>
      <c r="T14" s="23"/>
      <c r="U14" s="23"/>
      <c r="V14" s="23"/>
      <c r="Z14" s="37" t="str">
        <f>+'%Analysis'!A16</f>
        <v>CaO</v>
      </c>
    </row>
    <row r="15" spans="1:28" ht="18" customHeight="1" thickBot="1" x14ac:dyDescent="0.25">
      <c r="A15" s="134"/>
      <c r="B15" s="96"/>
      <c r="C15" s="97"/>
      <c r="D15" s="98" t="str">
        <f t="shared" si="0"/>
        <v/>
      </c>
      <c r="E15" s="105" t="str">
        <f t="shared" si="1"/>
        <v/>
      </c>
      <c r="F15" s="222" t="s">
        <v>64</v>
      </c>
      <c r="G15" s="223"/>
      <c r="H15" s="223"/>
      <c r="I15" s="223"/>
      <c r="J15" s="223"/>
      <c r="K15" s="223"/>
      <c r="L15" s="223"/>
      <c r="M15" s="224"/>
      <c r="N15" s="66"/>
      <c r="O15" s="126"/>
      <c r="P15" s="66"/>
      <c r="Q15" s="90"/>
      <c r="R15" s="90"/>
      <c r="S15" s="23"/>
      <c r="T15" s="23"/>
      <c r="U15" s="23"/>
      <c r="V15" s="23"/>
      <c r="Z15" s="37" t="str">
        <f>+'%Analysis'!A17</f>
        <v>ChromeOxide</v>
      </c>
    </row>
    <row r="16" spans="1:28" ht="18" customHeight="1" thickBot="1" x14ac:dyDescent="0.25">
      <c r="A16" s="134"/>
      <c r="B16" s="96"/>
      <c r="C16" s="97"/>
      <c r="D16" s="98" t="str">
        <f t="shared" si="0"/>
        <v/>
      </c>
      <c r="E16" s="105" t="str">
        <f t="shared" si="1"/>
        <v/>
      </c>
      <c r="F16" s="196" t="s">
        <v>113</v>
      </c>
      <c r="G16" s="197" t="s">
        <v>116</v>
      </c>
      <c r="H16" s="197" t="s">
        <v>119</v>
      </c>
      <c r="I16" s="197" t="s">
        <v>5</v>
      </c>
      <c r="J16" s="197" t="s">
        <v>6</v>
      </c>
      <c r="K16" s="197" t="s">
        <v>9</v>
      </c>
      <c r="L16" s="197" t="s">
        <v>7</v>
      </c>
      <c r="M16" s="198" t="s">
        <v>8</v>
      </c>
      <c r="N16" s="88"/>
      <c r="O16" s="127"/>
      <c r="P16" s="89"/>
      <c r="Q16" s="89"/>
      <c r="R16" s="89"/>
      <c r="S16" s="23"/>
      <c r="T16" s="23"/>
      <c r="U16" s="23"/>
      <c r="V16" s="23"/>
      <c r="Z16" s="37" t="str">
        <f>+'%Analysis'!A18</f>
        <v>CMC Gum</v>
      </c>
    </row>
    <row r="17" spans="1:28" ht="18" customHeight="1" thickBot="1" x14ac:dyDescent="0.25">
      <c r="A17" s="134"/>
      <c r="B17" s="96"/>
      <c r="C17" s="97"/>
      <c r="D17" s="98" t="str">
        <f t="shared" si="0"/>
        <v/>
      </c>
      <c r="E17" s="105" t="str">
        <f t="shared" si="1"/>
        <v/>
      </c>
      <c r="F17" s="199" t="e">
        <f t="shared" ref="F17:M17" si="2">C90</f>
        <v>#DIV/0!</v>
      </c>
      <c r="G17" s="200" t="e">
        <f t="shared" si="2"/>
        <v>#DIV/0!</v>
      </c>
      <c r="H17" s="200" t="e">
        <f t="shared" si="2"/>
        <v>#DIV/0!</v>
      </c>
      <c r="I17" s="200" t="e">
        <f t="shared" si="2"/>
        <v>#DIV/0!</v>
      </c>
      <c r="J17" s="200" t="e">
        <f t="shared" si="2"/>
        <v>#DIV/0!</v>
      </c>
      <c r="K17" s="200" t="e">
        <f t="shared" si="2"/>
        <v>#DIV/0!</v>
      </c>
      <c r="L17" s="200" t="e">
        <f t="shared" si="2"/>
        <v>#DIV/0!</v>
      </c>
      <c r="M17" s="201" t="e">
        <f t="shared" si="2"/>
        <v>#DIV/0!</v>
      </c>
      <c r="N17" s="88"/>
      <c r="O17" s="126"/>
      <c r="P17" s="66"/>
      <c r="Q17" s="90"/>
      <c r="R17" s="90"/>
      <c r="Z17" s="37" t="str">
        <f>+'%Analysis'!A19</f>
        <v>CoCarb</v>
      </c>
    </row>
    <row r="18" spans="1:28" ht="18" customHeight="1" thickBot="1" x14ac:dyDescent="0.25">
      <c r="A18" s="134"/>
      <c r="B18" s="96"/>
      <c r="C18" s="97"/>
      <c r="D18" s="98" t="str">
        <f t="shared" si="0"/>
        <v/>
      </c>
      <c r="E18" s="105" t="str">
        <f t="shared" si="1"/>
        <v/>
      </c>
      <c r="F18" s="196" t="s">
        <v>114</v>
      </c>
      <c r="G18" s="202" t="s">
        <v>115</v>
      </c>
      <c r="H18" s="203"/>
      <c r="I18" s="204"/>
      <c r="J18" s="205"/>
      <c r="K18" s="206"/>
      <c r="L18" s="171" t="s">
        <v>117</v>
      </c>
      <c r="M18" s="207" t="s">
        <v>120</v>
      </c>
      <c r="N18" s="88"/>
      <c r="O18" s="129"/>
      <c r="P18" s="89"/>
      <c r="Q18" s="89"/>
      <c r="R18" s="89"/>
      <c r="Z18" s="37" t="str">
        <f>+'%Analysis'!A20</f>
        <v>Coleman</v>
      </c>
    </row>
    <row r="19" spans="1:28" ht="18" customHeight="1" thickBot="1" x14ac:dyDescent="0.25">
      <c r="A19" s="132"/>
      <c r="B19" s="106"/>
      <c r="C19" s="99">
        <f>SUM(C7:C18)</f>
        <v>0</v>
      </c>
      <c r="D19" s="100">
        <f>SUM(D7:D18)</f>
        <v>0</v>
      </c>
      <c r="E19" s="105">
        <f>SUM(E7:E18)</f>
        <v>0</v>
      </c>
      <c r="F19" s="199" t="e">
        <f>L90</f>
        <v>#DIV/0!</v>
      </c>
      <c r="G19" s="201" t="e">
        <f>M90</f>
        <v>#DIV/0!</v>
      </c>
      <c r="H19" s="208"/>
      <c r="I19" s="209"/>
      <c r="J19" s="210"/>
      <c r="K19" s="211"/>
      <c r="L19" s="199" t="e">
        <f>+K90</f>
        <v>#DIV/0!</v>
      </c>
      <c r="M19" s="201" t="e">
        <f>(Q153/Q154)/$B$88</f>
        <v>#DIV/0!</v>
      </c>
      <c r="N19" s="88"/>
      <c r="O19" s="126"/>
      <c r="P19" s="66"/>
      <c r="Q19" s="90"/>
      <c r="R19" s="90"/>
      <c r="Z19" s="37" t="str">
        <f>+'%Analysis'!A21</f>
        <v>CoOxide</v>
      </c>
    </row>
    <row r="20" spans="1:28" ht="21" customHeight="1" x14ac:dyDescent="0.3">
      <c r="A20" s="132"/>
      <c r="B20" s="29"/>
      <c r="C20" s="107"/>
      <c r="D20" s="108"/>
      <c r="E20" s="109"/>
      <c r="F20" s="110"/>
      <c r="G20" s="109"/>
      <c r="H20" s="115"/>
      <c r="J20" s="111"/>
      <c r="K20" s="111"/>
      <c r="L20" s="111"/>
      <c r="M20" s="111"/>
      <c r="N20" s="91"/>
      <c r="O20" s="130"/>
      <c r="P20" s="63"/>
      <c r="Q20" s="63"/>
      <c r="R20" s="63"/>
      <c r="Z20" s="37" t="str">
        <f>+'%Analysis'!A22</f>
        <v>Corn Old</v>
      </c>
    </row>
    <row r="21" spans="1:28" s="70" customFormat="1" ht="19.5" customHeight="1" x14ac:dyDescent="0.2">
      <c r="A21" s="135"/>
      <c r="B21" s="92"/>
      <c r="C21" s="68"/>
      <c r="D21" s="93"/>
      <c r="E21" s="42"/>
      <c r="F21" s="91"/>
      <c r="G21" s="68"/>
      <c r="H21" s="91"/>
      <c r="I21" s="68"/>
      <c r="J21" s="67"/>
      <c r="K21" s="91"/>
      <c r="L21" s="68"/>
      <c r="M21" s="67"/>
      <c r="N21" s="67"/>
      <c r="O21" s="119"/>
      <c r="P21" s="63"/>
      <c r="Q21" s="63"/>
      <c r="R21" s="63"/>
      <c r="S21" s="69"/>
      <c r="T21" s="69"/>
      <c r="U21" s="69"/>
      <c r="V21" s="69"/>
      <c r="W21" s="69"/>
      <c r="X21" s="69"/>
      <c r="Y21" s="69"/>
      <c r="Z21" s="37" t="str">
        <f>+'%Analysis'!A23</f>
        <v>Cornwall</v>
      </c>
      <c r="AA21" s="69"/>
      <c r="AB21" s="69"/>
    </row>
    <row r="22" spans="1:28" s="70" customFormat="1" ht="19.5" customHeight="1" x14ac:dyDescent="0.2">
      <c r="A22" s="135"/>
      <c r="B22" s="92"/>
      <c r="C22" s="68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55"/>
      <c r="O22" s="119"/>
      <c r="P22" s="63"/>
      <c r="Q22" s="63"/>
      <c r="R22" s="63"/>
      <c r="S22" s="69"/>
      <c r="T22" s="69"/>
      <c r="U22" s="69"/>
      <c r="V22" s="69"/>
      <c r="W22" s="69"/>
      <c r="X22" s="69"/>
      <c r="Y22" s="69"/>
      <c r="Z22" s="37" t="str">
        <f>+'%Analysis'!A24</f>
        <v>Cu2O</v>
      </c>
      <c r="AA22" s="69"/>
      <c r="AB22" s="69"/>
    </row>
    <row r="23" spans="1:28" x14ac:dyDescent="0.2"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13"/>
      <c r="O23" s="13"/>
      <c r="Z23" s="37" t="str">
        <f>+'%Analysis'!A25</f>
        <v>CuCarb</v>
      </c>
    </row>
    <row r="24" spans="1:28" x14ac:dyDescent="0.2"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13"/>
      <c r="O24" s="13"/>
      <c r="Z24" s="37" t="str">
        <f>+'%Analysis'!A26</f>
        <v>Custer</v>
      </c>
    </row>
    <row r="25" spans="1:28" x14ac:dyDescent="0.2"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13"/>
      <c r="O25" s="13"/>
      <c r="Z25" s="37" t="str">
        <f>+'%Analysis'!A27</f>
        <v>Custer - Old</v>
      </c>
    </row>
    <row r="26" spans="1:28" x14ac:dyDescent="0.2">
      <c r="B26" s="41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13"/>
      <c r="O26" s="13"/>
      <c r="Z26" s="37" t="str">
        <f>+'%Analysis'!A28</f>
        <v>Dolomite</v>
      </c>
    </row>
    <row r="27" spans="1:28" x14ac:dyDescent="0.2">
      <c r="D27" s="39"/>
      <c r="E27" s="44"/>
      <c r="F27" s="13"/>
      <c r="G27" s="13"/>
      <c r="H27" s="13"/>
      <c r="I27" s="13"/>
      <c r="J27" s="13"/>
      <c r="K27" s="13"/>
      <c r="L27" s="13"/>
      <c r="M27" s="13"/>
      <c r="N27" s="13"/>
      <c r="O27" s="13"/>
      <c r="Z27" s="37" t="str">
        <f>+'%Analysis'!A29</f>
        <v>EPK</v>
      </c>
    </row>
    <row r="28" spans="1:28" s="45" customFormat="1" ht="15" x14ac:dyDescent="0.2">
      <c r="A28" s="137"/>
      <c r="C28" s="46" t="s">
        <v>75</v>
      </c>
      <c r="D28" s="47"/>
      <c r="E28" s="44"/>
      <c r="F28" s="33"/>
      <c r="G28" s="40"/>
      <c r="H28" s="42"/>
      <c r="I28" s="19"/>
      <c r="J28" s="19"/>
      <c r="K28" s="13"/>
      <c r="L28" s="13"/>
      <c r="M28" s="19"/>
      <c r="N28" s="19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37" t="str">
        <f>+'%Analysis'!A30</f>
        <v>EPK - Calcined</v>
      </c>
      <c r="AA28" s="19"/>
      <c r="AB28" s="19"/>
    </row>
    <row r="29" spans="1:28" s="19" customFormat="1" x14ac:dyDescent="0.2">
      <c r="A29" s="53"/>
      <c r="B29" s="21" t="s">
        <v>58</v>
      </c>
      <c r="C29" s="21" t="s">
        <v>2</v>
      </c>
      <c r="D29" s="8" t="s">
        <v>3</v>
      </c>
      <c r="E29" s="9" t="s">
        <v>4</v>
      </c>
      <c r="F29" s="21" t="s">
        <v>5</v>
      </c>
      <c r="G29" s="21" t="s">
        <v>6</v>
      </c>
      <c r="H29" s="10" t="s">
        <v>9</v>
      </c>
      <c r="I29" s="21" t="s">
        <v>7</v>
      </c>
      <c r="J29" s="21" t="s">
        <v>8</v>
      </c>
      <c r="K29" s="21" t="s">
        <v>12</v>
      </c>
      <c r="L29" s="22" t="s">
        <v>10</v>
      </c>
      <c r="M29" s="22" t="s">
        <v>13</v>
      </c>
      <c r="N29" s="21" t="s">
        <v>56</v>
      </c>
      <c r="Z29" s="37" t="str">
        <f>+'%Analysis'!A31</f>
        <v>Fe2O3</v>
      </c>
    </row>
    <row r="30" spans="1:28" s="19" customFormat="1" ht="15" customHeight="1" x14ac:dyDescent="0.2">
      <c r="A30" s="53"/>
      <c r="B30" s="12">
        <v>1</v>
      </c>
      <c r="C30" s="120">
        <v>1</v>
      </c>
      <c r="D30" s="120"/>
      <c r="E30" s="120"/>
      <c r="F30" s="120"/>
      <c r="G30" s="120"/>
      <c r="H30" s="120"/>
      <c r="I30" s="120"/>
      <c r="J30" s="120"/>
      <c r="K30" s="120">
        <v>2.1190000000000002</v>
      </c>
      <c r="L30" s="120"/>
      <c r="M30" s="12">
        <v>2.8530000000000002</v>
      </c>
      <c r="N30" s="12">
        <v>630</v>
      </c>
      <c r="Z30" s="37" t="str">
        <f>+'%Analysis'!A32</f>
        <v>Ferro3110</v>
      </c>
    </row>
    <row r="31" spans="1:28" s="19" customFormat="1" ht="15" customHeight="1" x14ac:dyDescent="0.2">
      <c r="A31" s="53"/>
      <c r="B31" s="12">
        <v>2</v>
      </c>
      <c r="C31" s="120">
        <v>1</v>
      </c>
      <c r="D31" s="120"/>
      <c r="E31" s="120"/>
      <c r="F31" s="120"/>
      <c r="G31" s="121"/>
      <c r="H31" s="120"/>
      <c r="I31" s="120"/>
      <c r="J31" s="120"/>
      <c r="K31" s="120"/>
      <c r="L31" s="120">
        <v>9.7199999999999995E-2</v>
      </c>
      <c r="M31" s="120">
        <v>3.4243000000000001</v>
      </c>
      <c r="N31" s="12">
        <v>695</v>
      </c>
      <c r="Z31" s="37" t="str">
        <f>+'%Analysis'!A33</f>
        <v>Ferro3124</v>
      </c>
    </row>
    <row r="32" spans="1:28" s="19" customFormat="1" ht="15" customHeight="1" x14ac:dyDescent="0.2">
      <c r="A32" s="53"/>
      <c r="B32" s="12">
        <v>3</v>
      </c>
      <c r="C32" s="120"/>
      <c r="D32" s="120">
        <v>1</v>
      </c>
      <c r="E32" s="120"/>
      <c r="F32" s="120"/>
      <c r="G32" s="121"/>
      <c r="H32" s="120"/>
      <c r="I32" s="120"/>
      <c r="J32" s="120"/>
      <c r="K32" s="120"/>
      <c r="L32" s="120">
        <v>0.29220000000000002</v>
      </c>
      <c r="M32" s="120">
        <v>2.44</v>
      </c>
      <c r="N32" s="12">
        <v>732</v>
      </c>
      <c r="Z32" s="37" t="str">
        <f>+'%Analysis'!A34</f>
        <v>Ferro3134</v>
      </c>
    </row>
    <row r="33" spans="1:28" ht="15" customHeight="1" x14ac:dyDescent="0.2">
      <c r="A33" s="53"/>
      <c r="B33" s="12">
        <v>4</v>
      </c>
      <c r="C33" s="120"/>
      <c r="D33" s="120">
        <v>1</v>
      </c>
      <c r="E33" s="120"/>
      <c r="F33" s="120"/>
      <c r="G33" s="120"/>
      <c r="H33" s="120"/>
      <c r="I33" s="120"/>
      <c r="J33" s="120"/>
      <c r="K33" s="120">
        <v>1.3</v>
      </c>
      <c r="L33" s="120"/>
      <c r="M33" s="12">
        <v>1.73</v>
      </c>
      <c r="N33" s="12">
        <v>790</v>
      </c>
      <c r="Z33" s="37" t="str">
        <f>+'%Analysis'!A35</f>
        <v>Ferro3195</v>
      </c>
    </row>
    <row r="34" spans="1:28" ht="15" customHeight="1" x14ac:dyDescent="0.2">
      <c r="A34" s="53"/>
      <c r="B34" s="12">
        <v>5</v>
      </c>
      <c r="C34" s="120"/>
      <c r="D34" s="120"/>
      <c r="E34" s="120">
        <v>1</v>
      </c>
      <c r="F34" s="120"/>
      <c r="G34" s="120"/>
      <c r="H34" s="120"/>
      <c r="I34" s="120"/>
      <c r="J34" s="120"/>
      <c r="K34" s="120">
        <v>0.7</v>
      </c>
      <c r="L34" s="120"/>
      <c r="M34" s="12">
        <v>0.3</v>
      </c>
      <c r="N34" s="12">
        <v>802</v>
      </c>
      <c r="Z34" s="37" t="str">
        <f>+'%Analysis'!A36</f>
        <v>Flint</v>
      </c>
    </row>
    <row r="35" spans="1:28" ht="15" customHeight="1" x14ac:dyDescent="0.2">
      <c r="A35" s="53"/>
      <c r="B35" s="12">
        <v>6</v>
      </c>
      <c r="C35" s="120"/>
      <c r="D35" s="120"/>
      <c r="E35" s="120"/>
      <c r="F35" s="120">
        <v>1</v>
      </c>
      <c r="G35" s="120"/>
      <c r="H35" s="120"/>
      <c r="I35" s="120"/>
      <c r="J35" s="120"/>
      <c r="K35" s="120">
        <v>1.51</v>
      </c>
      <c r="L35" s="120"/>
      <c r="M35" s="12">
        <v>0</v>
      </c>
      <c r="N35" s="12">
        <v>990</v>
      </c>
      <c r="Z35" s="37" t="str">
        <f>+'%Analysis'!A37</f>
        <v>G-200</v>
      </c>
    </row>
    <row r="36" spans="1:28" ht="15" customHeight="1" x14ac:dyDescent="0.2">
      <c r="A36" s="53"/>
      <c r="B36" s="12">
        <v>7</v>
      </c>
      <c r="C36" s="120"/>
      <c r="D36" s="120"/>
      <c r="E36" s="120">
        <v>1</v>
      </c>
      <c r="F36" s="120"/>
      <c r="G36" s="121"/>
      <c r="H36" s="120"/>
      <c r="I36" s="120"/>
      <c r="J36" s="120"/>
      <c r="K36" s="120"/>
      <c r="L36" s="120">
        <v>0.22800000000000001</v>
      </c>
      <c r="M36" s="120">
        <v>1.6838</v>
      </c>
      <c r="N36" s="12">
        <v>1026</v>
      </c>
      <c r="O36" s="19" t="s">
        <v>76</v>
      </c>
      <c r="P36" s="19" t="s">
        <v>77</v>
      </c>
      <c r="Z36" s="37" t="str">
        <f>+'%Analysis'!A38</f>
        <v>G200 HP</v>
      </c>
    </row>
    <row r="37" spans="1:28" ht="15" customHeight="1" x14ac:dyDescent="0.2">
      <c r="A37" s="53"/>
      <c r="B37" s="12">
        <v>8</v>
      </c>
      <c r="C37" s="120"/>
      <c r="D37" s="120"/>
      <c r="E37" s="120"/>
      <c r="F37" s="120">
        <v>0.54400000000000004</v>
      </c>
      <c r="G37" s="120"/>
      <c r="H37" s="120"/>
      <c r="I37" s="120"/>
      <c r="J37" s="120">
        <v>0.45600000000000002</v>
      </c>
      <c r="K37" s="120"/>
      <c r="L37" s="120">
        <v>0.1326</v>
      </c>
      <c r="M37" s="120">
        <v>1.3943000000000001</v>
      </c>
      <c r="N37" s="12">
        <v>1030</v>
      </c>
      <c r="O37" s="19">
        <f>+F37/J37</f>
        <v>1.1929824561403508</v>
      </c>
      <c r="P37" s="19">
        <f>+J37/F37</f>
        <v>0.83823529411764708</v>
      </c>
      <c r="Z37" s="37" t="str">
        <f>+'%Analysis'!A39</f>
        <v>Gerstley Borate</v>
      </c>
    </row>
    <row r="38" spans="1:28" ht="15" customHeight="1" x14ac:dyDescent="0.2">
      <c r="A38" s="53"/>
      <c r="B38" s="12">
        <v>9</v>
      </c>
      <c r="C38" s="120"/>
      <c r="D38" s="120"/>
      <c r="E38" s="120"/>
      <c r="F38" s="120"/>
      <c r="G38" s="120"/>
      <c r="H38" s="120">
        <v>1</v>
      </c>
      <c r="I38" s="120"/>
      <c r="J38" s="120"/>
      <c r="K38" s="120"/>
      <c r="L38" s="120">
        <v>0.40579999999999999</v>
      </c>
      <c r="M38" s="120">
        <v>4.0090000000000003</v>
      </c>
      <c r="N38" s="12">
        <v>1122</v>
      </c>
      <c r="Z38" s="37" t="str">
        <f>+'%Analysis'!A40</f>
        <v>Gerstley Borate - 1999</v>
      </c>
    </row>
    <row r="39" spans="1:28" ht="15" customHeight="1" x14ac:dyDescent="0.2">
      <c r="A39" s="53"/>
      <c r="B39" s="12">
        <v>10</v>
      </c>
      <c r="C39" s="120"/>
      <c r="D39" s="120"/>
      <c r="E39" s="120"/>
      <c r="F39" s="120">
        <v>1</v>
      </c>
      <c r="G39" s="120"/>
      <c r="H39" s="120"/>
      <c r="I39" s="120"/>
      <c r="J39" s="120"/>
      <c r="K39" s="120"/>
      <c r="L39" s="120">
        <v>0.34889999999999999</v>
      </c>
      <c r="M39" s="120">
        <v>2.4887999999999999</v>
      </c>
      <c r="N39" s="12">
        <v>1165</v>
      </c>
      <c r="Z39" s="37" t="str">
        <f>+'%Analysis'!A41</f>
        <v>Gillespie Borate</v>
      </c>
    </row>
    <row r="40" spans="1:28" ht="15" customHeight="1" x14ac:dyDescent="0.2">
      <c r="A40" s="53"/>
      <c r="B40" s="12">
        <v>11</v>
      </c>
      <c r="C40" s="120"/>
      <c r="D40" s="120"/>
      <c r="E40" s="120"/>
      <c r="F40" s="120"/>
      <c r="G40" s="120"/>
      <c r="H40" s="120"/>
      <c r="I40" s="120">
        <v>1</v>
      </c>
      <c r="J40" s="120"/>
      <c r="K40" s="120"/>
      <c r="L40" s="120">
        <v>0.21440000000000001</v>
      </c>
      <c r="M40" s="120">
        <v>2.8</v>
      </c>
      <c r="N40" s="12">
        <v>1176</v>
      </c>
      <c r="Z40" s="37" t="str">
        <f>+'%Analysis'!A42</f>
        <v>Goldart</v>
      </c>
    </row>
    <row r="41" spans="1:28" ht="15" customHeight="1" x14ac:dyDescent="0.2">
      <c r="A41" s="53"/>
      <c r="B41" s="12">
        <v>12</v>
      </c>
      <c r="C41" s="120"/>
      <c r="D41" s="120"/>
      <c r="E41" s="120"/>
      <c r="F41" s="120"/>
      <c r="G41" s="120">
        <v>1</v>
      </c>
      <c r="H41" s="120"/>
      <c r="I41" s="120"/>
      <c r="J41" s="120"/>
      <c r="K41" s="120"/>
      <c r="L41" s="120">
        <v>0.33739999999999998</v>
      </c>
      <c r="M41" s="120">
        <v>2.0287000000000002</v>
      </c>
      <c r="N41" s="12">
        <v>1350</v>
      </c>
      <c r="Z41" s="37" t="str">
        <f>+'%Analysis'!A43</f>
        <v>Grolleg</v>
      </c>
    </row>
    <row r="42" spans="1:28" x14ac:dyDescent="0.2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Q42" s="23"/>
      <c r="R42" s="23"/>
      <c r="Z42" s="37" t="str">
        <f>+'%Analysis'!A44</f>
        <v>K2CO3</v>
      </c>
    </row>
    <row r="43" spans="1:28" s="45" customFormat="1" ht="15" x14ac:dyDescent="0.2">
      <c r="A43" s="137"/>
      <c r="C43" s="46" t="s">
        <v>89</v>
      </c>
      <c r="D43" s="47"/>
      <c r="E43" s="44"/>
      <c r="F43" s="33"/>
      <c r="G43" s="40"/>
      <c r="H43" s="42"/>
      <c r="I43" s="19"/>
      <c r="J43" s="19"/>
      <c r="K43" s="13"/>
      <c r="L43" s="13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37" t="str">
        <f>+'%Analysis'!A45</f>
        <v>K2O</v>
      </c>
      <c r="AA43" s="19"/>
      <c r="AB43" s="19"/>
    </row>
    <row r="44" spans="1:28" s="19" customFormat="1" x14ac:dyDescent="0.2">
      <c r="A44" s="53"/>
      <c r="B44" s="21" t="s">
        <v>58</v>
      </c>
      <c r="C44" s="21" t="s">
        <v>2</v>
      </c>
      <c r="D44" s="8" t="s">
        <v>3</v>
      </c>
      <c r="E44" s="9" t="s">
        <v>4</v>
      </c>
      <c r="F44" s="21" t="s">
        <v>5</v>
      </c>
      <c r="G44" s="21" t="s">
        <v>6</v>
      </c>
      <c r="H44" s="10" t="s">
        <v>9</v>
      </c>
      <c r="I44" s="21" t="s">
        <v>7</v>
      </c>
      <c r="J44" s="21" t="s">
        <v>8</v>
      </c>
      <c r="K44" s="21" t="s">
        <v>12</v>
      </c>
      <c r="L44" s="22" t="s">
        <v>10</v>
      </c>
      <c r="M44" s="22" t="s">
        <v>13</v>
      </c>
      <c r="N44" s="21" t="s">
        <v>56</v>
      </c>
      <c r="Z44" s="37" t="str">
        <f>+'%Analysis'!A46</f>
        <v>Kaolin</v>
      </c>
    </row>
    <row r="45" spans="1:28" s="19" customFormat="1" ht="15" customHeight="1" x14ac:dyDescent="0.2">
      <c r="A45" s="53"/>
      <c r="B45" s="12">
        <v>1</v>
      </c>
      <c r="C45" s="48">
        <v>22.8</v>
      </c>
      <c r="D45" s="48"/>
      <c r="E45" s="48"/>
      <c r="F45" s="48"/>
      <c r="G45" s="48"/>
      <c r="H45" s="48"/>
      <c r="I45" s="48"/>
      <c r="J45" s="48"/>
      <c r="K45" s="48">
        <v>35.700000000000003</v>
      </c>
      <c r="L45" s="48"/>
      <c r="M45" s="48">
        <v>41.5</v>
      </c>
      <c r="N45" s="12">
        <v>630</v>
      </c>
      <c r="O45" s="52">
        <f t="shared" ref="O45:O56" si="3">SUM(C45:M45)</f>
        <v>100</v>
      </c>
      <c r="Z45" s="37" t="str">
        <f>+'%Analysis'!A47</f>
        <v>KFeld</v>
      </c>
    </row>
    <row r="46" spans="1:28" s="19" customFormat="1" ht="15" customHeight="1" x14ac:dyDescent="0.2">
      <c r="A46" s="53"/>
      <c r="B46" s="12">
        <v>2</v>
      </c>
      <c r="C46" s="48">
        <v>30.4</v>
      </c>
      <c r="D46" s="48"/>
      <c r="E46" s="48"/>
      <c r="F46" s="48"/>
      <c r="G46" s="49"/>
      <c r="H46" s="48"/>
      <c r="I46" s="48"/>
      <c r="J46" s="48"/>
      <c r="K46" s="48"/>
      <c r="L46" s="48">
        <v>3.2</v>
      </c>
      <c r="M46" s="48">
        <v>66.400000000000006</v>
      </c>
      <c r="N46" s="12">
        <v>695</v>
      </c>
      <c r="O46" s="52">
        <f t="shared" si="3"/>
        <v>100</v>
      </c>
      <c r="Z46" s="37" t="str">
        <f>+'%Analysis'!A48</f>
        <v>Kingman</v>
      </c>
    </row>
    <row r="47" spans="1:28" s="19" customFormat="1" ht="15" customHeight="1" x14ac:dyDescent="0.2">
      <c r="A47" s="53"/>
      <c r="B47" s="12">
        <v>3</v>
      </c>
      <c r="C47" s="48"/>
      <c r="D47" s="48">
        <v>26</v>
      </c>
      <c r="E47" s="48"/>
      <c r="F47" s="48"/>
      <c r="G47" s="49"/>
      <c r="H47" s="48"/>
      <c r="I47" s="48"/>
      <c r="J47" s="48"/>
      <c r="K47" s="48"/>
      <c r="L47" s="48">
        <v>12.5</v>
      </c>
      <c r="M47" s="48">
        <v>61.5</v>
      </c>
      <c r="N47" s="12">
        <v>732</v>
      </c>
      <c r="O47" s="52">
        <f t="shared" si="3"/>
        <v>100</v>
      </c>
      <c r="Z47" s="37" t="str">
        <f>+'%Analysis'!A49</f>
        <v>KonaF-4</v>
      </c>
    </row>
    <row r="48" spans="1:28" ht="15" customHeight="1" x14ac:dyDescent="0.2">
      <c r="A48" s="53"/>
      <c r="B48" s="154">
        <v>4</v>
      </c>
      <c r="C48" s="155"/>
      <c r="D48" s="155">
        <v>24.2</v>
      </c>
      <c r="E48" s="155"/>
      <c r="F48" s="155"/>
      <c r="G48" s="155"/>
      <c r="H48" s="155"/>
      <c r="I48" s="155"/>
      <c r="J48" s="155"/>
      <c r="K48" s="155">
        <v>35.200000000000003</v>
      </c>
      <c r="L48" s="155"/>
      <c r="M48" s="155">
        <v>40.6</v>
      </c>
      <c r="N48" s="154">
        <v>790</v>
      </c>
      <c r="O48" s="52">
        <f t="shared" si="3"/>
        <v>100</v>
      </c>
      <c r="Z48" s="37" t="str">
        <f>+'%Analysis'!A50</f>
        <v>Leucite</v>
      </c>
    </row>
    <row r="49" spans="1:26" ht="15" customHeight="1" x14ac:dyDescent="0.2">
      <c r="A49" s="53"/>
      <c r="B49" s="12">
        <v>5</v>
      </c>
      <c r="C49" s="155"/>
      <c r="D49" s="155"/>
      <c r="E49" s="155">
        <v>30.9</v>
      </c>
      <c r="F49" s="155"/>
      <c r="G49" s="155"/>
      <c r="H49" s="155"/>
      <c r="I49" s="155"/>
      <c r="J49" s="155"/>
      <c r="K49" s="155">
        <v>50.4</v>
      </c>
      <c r="L49" s="155"/>
      <c r="M49" s="155">
        <v>18.7</v>
      </c>
      <c r="N49" s="12">
        <v>802</v>
      </c>
      <c r="O49" s="52">
        <f t="shared" si="3"/>
        <v>100</v>
      </c>
      <c r="Z49" s="37" t="str">
        <f>+'%Analysis'!A51</f>
        <v>Li2O</v>
      </c>
    </row>
    <row r="50" spans="1:26" ht="15" customHeight="1" x14ac:dyDescent="0.2">
      <c r="A50" s="53"/>
      <c r="B50" s="12">
        <v>6</v>
      </c>
      <c r="C50" s="48"/>
      <c r="D50" s="48"/>
      <c r="E50" s="48"/>
      <c r="F50" s="48">
        <v>65.209999999999994</v>
      </c>
      <c r="G50" s="48"/>
      <c r="H50" s="48"/>
      <c r="I50" s="48"/>
      <c r="J50" s="48"/>
      <c r="K50" s="48">
        <v>34.79</v>
      </c>
      <c r="L50" s="48"/>
      <c r="M50" s="48"/>
      <c r="N50" s="12">
        <v>990</v>
      </c>
      <c r="O50" s="52">
        <f t="shared" si="3"/>
        <v>100</v>
      </c>
      <c r="Z50" s="37" t="str">
        <f>+'%Analysis'!A52</f>
        <v>LiCarb</v>
      </c>
    </row>
    <row r="51" spans="1:26" ht="15" customHeight="1" x14ac:dyDescent="0.2">
      <c r="A51" s="53"/>
      <c r="B51" s="12">
        <v>7</v>
      </c>
      <c r="C51" s="155"/>
      <c r="D51" s="155"/>
      <c r="E51" s="155">
        <v>19.366</v>
      </c>
      <c r="F51" s="155"/>
      <c r="G51" s="164"/>
      <c r="H51" s="155"/>
      <c r="I51" s="155"/>
      <c r="J51" s="155"/>
      <c r="K51" s="155"/>
      <c r="L51" s="155">
        <v>15.067</v>
      </c>
      <c r="M51" s="155">
        <v>65.566999999999993</v>
      </c>
      <c r="N51" s="12">
        <v>1026</v>
      </c>
      <c r="O51" s="52">
        <f t="shared" si="3"/>
        <v>100</v>
      </c>
      <c r="Z51" s="37" t="str">
        <f>+'%Analysis'!A53</f>
        <v>LiSilicate</v>
      </c>
    </row>
    <row r="52" spans="1:26" ht="15" customHeight="1" x14ac:dyDescent="0.2">
      <c r="A52" s="53"/>
      <c r="B52" s="154">
        <v>8</v>
      </c>
      <c r="C52" s="155"/>
      <c r="D52" s="155"/>
      <c r="E52" s="155"/>
      <c r="F52" s="155">
        <v>18.5</v>
      </c>
      <c r="G52" s="155"/>
      <c r="H52" s="155"/>
      <c r="I52" s="155"/>
      <c r="J52" s="155">
        <v>22.5</v>
      </c>
      <c r="K52" s="155"/>
      <c r="L52" s="155">
        <v>8.1999999999999993</v>
      </c>
      <c r="M52" s="155">
        <v>50.8</v>
      </c>
      <c r="N52" s="12">
        <v>1030</v>
      </c>
      <c r="O52" s="52">
        <f t="shared" si="3"/>
        <v>100</v>
      </c>
      <c r="Z52" s="37" t="str">
        <f>+'%Analysis'!A54</f>
        <v>Macaloid</v>
      </c>
    </row>
    <row r="53" spans="1:26" ht="15" customHeight="1" x14ac:dyDescent="0.2">
      <c r="A53" s="53"/>
      <c r="B53" s="12">
        <v>9</v>
      </c>
      <c r="C53" s="48"/>
      <c r="D53" s="48"/>
      <c r="E53" s="48"/>
      <c r="F53" s="48"/>
      <c r="G53" s="48"/>
      <c r="H53" s="48">
        <v>35.200000000000003</v>
      </c>
      <c r="I53" s="48"/>
      <c r="J53" s="48"/>
      <c r="K53" s="48"/>
      <c r="L53" s="48">
        <v>9.5</v>
      </c>
      <c r="M53" s="48">
        <v>55.3</v>
      </c>
      <c r="N53" s="12">
        <v>1122</v>
      </c>
      <c r="O53" s="52">
        <f t="shared" si="3"/>
        <v>100</v>
      </c>
      <c r="Z53" s="37" t="str">
        <f>+'%Analysis'!A55</f>
        <v>MgCarb</v>
      </c>
    </row>
    <row r="54" spans="1:26" ht="15" customHeight="1" x14ac:dyDescent="0.2">
      <c r="A54" s="53"/>
      <c r="B54" s="12">
        <v>10</v>
      </c>
      <c r="C54" s="48"/>
      <c r="D54" s="48"/>
      <c r="E54" s="48"/>
      <c r="F54" s="48">
        <v>23.25</v>
      </c>
      <c r="G54" s="48"/>
      <c r="H54" s="48"/>
      <c r="I54" s="48"/>
      <c r="J54" s="48"/>
      <c r="K54" s="48"/>
      <c r="L54" s="48">
        <v>14.75</v>
      </c>
      <c r="M54" s="48">
        <v>62</v>
      </c>
      <c r="N54" s="12">
        <v>1165</v>
      </c>
      <c r="O54" s="52">
        <f t="shared" si="3"/>
        <v>100</v>
      </c>
      <c r="Z54" s="37" t="str">
        <f>+'%Analysis'!A56</f>
        <v>MgO</v>
      </c>
    </row>
    <row r="55" spans="1:26" ht="15" customHeight="1" x14ac:dyDescent="0.2">
      <c r="A55" s="53"/>
      <c r="B55" s="12">
        <v>11</v>
      </c>
      <c r="C55" s="48"/>
      <c r="D55" s="48"/>
      <c r="E55" s="48"/>
      <c r="F55" s="48"/>
      <c r="G55" s="48"/>
      <c r="H55" s="48"/>
      <c r="I55" s="48">
        <v>35.277999999999999</v>
      </c>
      <c r="J55" s="48"/>
      <c r="K55" s="48"/>
      <c r="L55" s="48">
        <v>7.4429999999999996</v>
      </c>
      <c r="M55" s="48">
        <v>57.277999999999999</v>
      </c>
      <c r="N55" s="12">
        <v>1176</v>
      </c>
      <c r="O55" s="52">
        <f t="shared" si="3"/>
        <v>99.998999999999995</v>
      </c>
      <c r="Z55" s="37" t="str">
        <f>+'%Analysis'!A57</f>
        <v>Mahavir Feldspar</v>
      </c>
    </row>
    <row r="56" spans="1:26" ht="15" customHeight="1" x14ac:dyDescent="0.2">
      <c r="A56" s="53"/>
      <c r="B56" s="12">
        <v>12</v>
      </c>
      <c r="C56" s="48"/>
      <c r="D56" s="48"/>
      <c r="E56" s="48"/>
      <c r="F56" s="48"/>
      <c r="G56" s="48">
        <v>20.5</v>
      </c>
      <c r="H56" s="48"/>
      <c r="I56" s="48"/>
      <c r="J56" s="48"/>
      <c r="K56" s="48"/>
      <c r="L56" s="48">
        <v>17.5</v>
      </c>
      <c r="M56" s="48">
        <v>62</v>
      </c>
      <c r="N56" s="12">
        <v>1350</v>
      </c>
      <c r="O56" s="52">
        <f t="shared" si="3"/>
        <v>100</v>
      </c>
      <c r="Z56" s="37" t="str">
        <f>+'%Analysis'!A58</f>
        <v>Minspar 200</v>
      </c>
    </row>
    <row r="57" spans="1:26" x14ac:dyDescent="0.2">
      <c r="A57" s="5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/>
      <c r="Q57" s="23"/>
      <c r="R57" s="23"/>
      <c r="Z57" s="37" t="str">
        <f>+'%Analysis'!A59</f>
        <v>MnCarb</v>
      </c>
    </row>
    <row r="58" spans="1:26" x14ac:dyDescent="0.2">
      <c r="A58" s="5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Q58" s="23"/>
      <c r="R58" s="23"/>
      <c r="Z58" s="37" t="str">
        <f>+'%Analysis'!A60</f>
        <v>MnO2</v>
      </c>
    </row>
    <row r="59" spans="1:26" ht="13.5" thickBot="1" x14ac:dyDescent="0.25">
      <c r="A59" s="53"/>
      <c r="B59" s="37"/>
      <c r="C59" s="74" t="s">
        <v>90</v>
      </c>
      <c r="D59" s="75"/>
      <c r="E59" s="75"/>
      <c r="F59" s="75"/>
      <c r="G59" s="75"/>
      <c r="H59" s="37"/>
      <c r="I59" s="37"/>
      <c r="J59" s="37"/>
      <c r="K59" s="37"/>
      <c r="L59" s="37"/>
      <c r="M59" s="34"/>
      <c r="O59" s="143" t="s">
        <v>59</v>
      </c>
      <c r="P59" s="144"/>
      <c r="R59" s="37" t="s">
        <v>60</v>
      </c>
      <c r="S59" s="144"/>
      <c r="T59" s="77" t="s">
        <v>99</v>
      </c>
      <c r="U59" s="76"/>
      <c r="V59" s="77" t="s">
        <v>100</v>
      </c>
      <c r="W59" s="76"/>
      <c r="X59" s="77" t="s">
        <v>60</v>
      </c>
      <c r="Y59" s="77"/>
      <c r="Z59" s="37" t="str">
        <f>+'%Analysis'!A61</f>
        <v>Na2CO3</v>
      </c>
    </row>
    <row r="60" spans="1:26" x14ac:dyDescent="0.2">
      <c r="A60" s="138" t="s">
        <v>58</v>
      </c>
      <c r="B60" s="78"/>
      <c r="C60" s="79" t="s">
        <v>2</v>
      </c>
      <c r="D60" s="79" t="s">
        <v>3</v>
      </c>
      <c r="E60" s="79" t="s">
        <v>4</v>
      </c>
      <c r="F60" s="79" t="s">
        <v>5</v>
      </c>
      <c r="G60" s="79" t="s">
        <v>6</v>
      </c>
      <c r="H60" s="80" t="s">
        <v>9</v>
      </c>
      <c r="I60" s="79" t="s">
        <v>7</v>
      </c>
      <c r="J60" s="79" t="s">
        <v>8</v>
      </c>
      <c r="K60" s="79" t="s">
        <v>12</v>
      </c>
      <c r="L60" s="79" t="s">
        <v>10</v>
      </c>
      <c r="M60" s="142" t="s">
        <v>13</v>
      </c>
      <c r="N60" s="151" t="s">
        <v>12</v>
      </c>
      <c r="O60" s="145" t="s">
        <v>10</v>
      </c>
      <c r="P60" s="146" t="s">
        <v>13</v>
      </c>
      <c r="Q60" s="151" t="s">
        <v>12</v>
      </c>
      <c r="R60" s="145" t="s">
        <v>10</v>
      </c>
      <c r="S60" s="146" t="s">
        <v>13</v>
      </c>
      <c r="T60" s="150" t="s">
        <v>96</v>
      </c>
      <c r="U60" s="81" t="s">
        <v>8</v>
      </c>
      <c r="V60" s="79" t="s">
        <v>5</v>
      </c>
      <c r="W60" s="79" t="s">
        <v>8</v>
      </c>
      <c r="X60" s="79" t="s">
        <v>5</v>
      </c>
      <c r="Y60" s="79" t="s">
        <v>8</v>
      </c>
      <c r="Z60" s="37" t="str">
        <f>+'%Analysis'!A62</f>
        <v>Na2O</v>
      </c>
    </row>
    <row r="61" spans="1:26" x14ac:dyDescent="0.2">
      <c r="A61" s="138" t="s">
        <v>61</v>
      </c>
      <c r="B61" s="78"/>
      <c r="C61" s="78">
        <f>+H153</f>
        <v>0</v>
      </c>
      <c r="D61" s="78">
        <f>+I153</f>
        <v>0</v>
      </c>
      <c r="E61" s="78">
        <f>+J153</f>
        <v>0</v>
      </c>
      <c r="F61" s="78">
        <f>+K153</f>
        <v>0</v>
      </c>
      <c r="G61" s="78">
        <f>+M153</f>
        <v>0</v>
      </c>
      <c r="H61" s="78">
        <f>+O153</f>
        <v>0</v>
      </c>
      <c r="I61" s="78">
        <f>+L153</f>
        <v>0</v>
      </c>
      <c r="J61" s="78">
        <f>+N153</f>
        <v>0</v>
      </c>
      <c r="K61" s="78">
        <f>+R153</f>
        <v>0</v>
      </c>
      <c r="L61" s="78">
        <f>+P153</f>
        <v>0</v>
      </c>
      <c r="M61" s="123">
        <f>+S153</f>
        <v>0</v>
      </c>
      <c r="N61" s="166"/>
      <c r="O61" s="78"/>
      <c r="P61" s="167"/>
      <c r="Q61" s="166"/>
      <c r="R61" s="78"/>
      <c r="S61" s="167"/>
      <c r="T61" s="124"/>
      <c r="U61" s="78"/>
      <c r="V61" s="78"/>
      <c r="W61" s="78"/>
      <c r="X61" s="78"/>
      <c r="Y61" s="78"/>
      <c r="Z61" s="37" t="str">
        <f>+'%Analysis'!A63</f>
        <v>NaFeld</v>
      </c>
    </row>
    <row r="62" spans="1:26" x14ac:dyDescent="0.2">
      <c r="A62" s="138">
        <v>1</v>
      </c>
      <c r="B62" s="78" t="s">
        <v>91</v>
      </c>
      <c r="C62" s="78">
        <f>IF(AND(N62&lt;=Q62,P62&lt;=S62),C61,MIN(Q62/N62,S62/P62)*C61)</f>
        <v>0</v>
      </c>
      <c r="D62" s="78"/>
      <c r="E62" s="78"/>
      <c r="F62" s="78"/>
      <c r="G62" s="78"/>
      <c r="H62" s="78"/>
      <c r="I62" s="78"/>
      <c r="J62" s="78"/>
      <c r="K62" s="78">
        <f>C62*(K45/C45)</f>
        <v>0</v>
      </c>
      <c r="L62" s="78"/>
      <c r="M62" s="123">
        <f>C62*(M45/C45)</f>
        <v>0</v>
      </c>
      <c r="N62" s="152">
        <f>(K45/C45)*C61</f>
        <v>0</v>
      </c>
      <c r="O62" s="78"/>
      <c r="P62" s="147">
        <f>(M45/C45)*C61</f>
        <v>0</v>
      </c>
      <c r="Q62" s="152">
        <f>+K61</f>
        <v>0</v>
      </c>
      <c r="R62" s="78"/>
      <c r="S62" s="147">
        <f>M61</f>
        <v>0</v>
      </c>
      <c r="T62" s="124"/>
      <c r="U62" s="78"/>
      <c r="V62" s="78"/>
      <c r="W62" s="78"/>
      <c r="X62" s="78"/>
      <c r="Y62" s="78"/>
      <c r="Z62" s="37" t="str">
        <f>+'%Analysis'!A64</f>
        <v>NephelineSyenite</v>
      </c>
    </row>
    <row r="63" spans="1:26" x14ac:dyDescent="0.2">
      <c r="A63" s="138">
        <v>1</v>
      </c>
      <c r="B63" s="78" t="s">
        <v>92</v>
      </c>
      <c r="C63" s="78">
        <f>C61-C62</f>
        <v>0</v>
      </c>
      <c r="D63" s="78">
        <f t="shared" ref="D63:M63" si="4">D61-D62</f>
        <v>0</v>
      </c>
      <c r="E63" s="78">
        <f t="shared" si="4"/>
        <v>0</v>
      </c>
      <c r="F63" s="78">
        <f t="shared" si="4"/>
        <v>0</v>
      </c>
      <c r="G63" s="78">
        <f t="shared" si="4"/>
        <v>0</v>
      </c>
      <c r="H63" s="78">
        <f t="shared" si="4"/>
        <v>0</v>
      </c>
      <c r="I63" s="78">
        <f t="shared" si="4"/>
        <v>0</v>
      </c>
      <c r="J63" s="78">
        <f t="shared" si="4"/>
        <v>0</v>
      </c>
      <c r="K63" s="78">
        <f t="shared" si="4"/>
        <v>0</v>
      </c>
      <c r="L63" s="78">
        <f t="shared" si="4"/>
        <v>0</v>
      </c>
      <c r="M63" s="123">
        <f t="shared" si="4"/>
        <v>0</v>
      </c>
      <c r="N63" s="152"/>
      <c r="O63" s="78"/>
      <c r="P63" s="167"/>
      <c r="Q63" s="161"/>
      <c r="R63" s="157"/>
      <c r="S63" s="162"/>
      <c r="T63" s="124"/>
      <c r="U63" s="78"/>
      <c r="V63" s="78"/>
      <c r="W63" s="78"/>
      <c r="X63" s="78"/>
      <c r="Y63" s="78"/>
      <c r="Z63" s="37" t="str">
        <f>+'%Analysis'!A65</f>
        <v>NiCarb</v>
      </c>
    </row>
    <row r="64" spans="1:26" x14ac:dyDescent="0.2">
      <c r="A64" s="138">
        <v>2</v>
      </c>
      <c r="B64" s="78" t="s">
        <v>91</v>
      </c>
      <c r="C64" s="83">
        <f>IF(AND(O64&lt;=R64,P64&lt;=S64),C63,MIN(R64/O64,S64/P64)*C63)</f>
        <v>0</v>
      </c>
      <c r="D64" s="78"/>
      <c r="E64" s="78"/>
      <c r="F64" s="78"/>
      <c r="G64" s="82"/>
      <c r="H64" s="78"/>
      <c r="I64" s="78"/>
      <c r="J64" s="78"/>
      <c r="K64" s="78"/>
      <c r="L64" s="78">
        <f>(L46/C46)*C64</f>
        <v>0</v>
      </c>
      <c r="M64" s="123">
        <f>(M46/C46)*C64</f>
        <v>0</v>
      </c>
      <c r="N64" s="152"/>
      <c r="O64" s="78">
        <f>(L46/C46)*C63</f>
        <v>0</v>
      </c>
      <c r="P64" s="147">
        <f>(M46/C46)*C63</f>
        <v>0</v>
      </c>
      <c r="Q64" s="152">
        <f>+K63</f>
        <v>0</v>
      </c>
      <c r="R64" s="78">
        <f>L63</f>
        <v>0</v>
      </c>
      <c r="S64" s="147">
        <f>M63</f>
        <v>0</v>
      </c>
      <c r="T64" s="124"/>
      <c r="U64" s="78"/>
      <c r="V64" s="78"/>
      <c r="W64" s="78"/>
      <c r="X64" s="78"/>
      <c r="Y64" s="78"/>
      <c r="Z64" s="37" t="str">
        <f>+'%Analysis'!A66</f>
        <v>OldHick</v>
      </c>
    </row>
    <row r="65" spans="1:26" x14ac:dyDescent="0.2">
      <c r="A65" s="138">
        <v>2</v>
      </c>
      <c r="B65" s="78" t="s">
        <v>92</v>
      </c>
      <c r="C65" s="78">
        <f>C63-C64</f>
        <v>0</v>
      </c>
      <c r="D65" s="78">
        <f t="shared" ref="D65:M65" si="5">D63-D64</f>
        <v>0</v>
      </c>
      <c r="E65" s="78">
        <f t="shared" si="5"/>
        <v>0</v>
      </c>
      <c r="F65" s="78">
        <f t="shared" si="5"/>
        <v>0</v>
      </c>
      <c r="G65" s="78">
        <f t="shared" si="5"/>
        <v>0</v>
      </c>
      <c r="H65" s="78">
        <f t="shared" si="5"/>
        <v>0</v>
      </c>
      <c r="I65" s="78">
        <f t="shared" si="5"/>
        <v>0</v>
      </c>
      <c r="J65" s="78">
        <f t="shared" si="5"/>
        <v>0</v>
      </c>
      <c r="K65" s="78">
        <f t="shared" si="5"/>
        <v>0</v>
      </c>
      <c r="L65" s="78">
        <f t="shared" si="5"/>
        <v>0</v>
      </c>
      <c r="M65" s="123">
        <f t="shared" si="5"/>
        <v>0</v>
      </c>
      <c r="N65" s="152"/>
      <c r="O65" s="78"/>
      <c r="P65" s="147"/>
      <c r="Q65" s="152">
        <f>+K64</f>
        <v>0</v>
      </c>
      <c r="R65" s="78"/>
      <c r="S65" s="147"/>
      <c r="T65" s="124"/>
      <c r="U65" s="78"/>
      <c r="V65" s="78"/>
      <c r="W65" s="78"/>
      <c r="X65" s="78"/>
      <c r="Y65" s="78"/>
      <c r="Z65" s="37" t="str">
        <f>+'%Analysis'!A67</f>
        <v>OM4</v>
      </c>
    </row>
    <row r="66" spans="1:26" x14ac:dyDescent="0.2">
      <c r="A66" s="138">
        <v>3</v>
      </c>
      <c r="B66" s="78" t="s">
        <v>91</v>
      </c>
      <c r="C66" s="78"/>
      <c r="D66" s="83">
        <f>IF(AND(P66&lt;=S66,O66&lt;=R66),D65,MIN(S66/P66,R66/O66)*D65)</f>
        <v>0</v>
      </c>
      <c r="E66" s="78"/>
      <c r="F66" s="78"/>
      <c r="G66" s="78"/>
      <c r="H66" s="78"/>
      <c r="I66" s="78"/>
      <c r="J66" s="78"/>
      <c r="K66" s="78"/>
      <c r="L66" s="78">
        <f>D66*(L47/D47)</f>
        <v>0</v>
      </c>
      <c r="M66" s="123">
        <f>D66*(M47/D47)</f>
        <v>0</v>
      </c>
      <c r="N66" s="152"/>
      <c r="O66" s="78">
        <f>D65*(L47/D47)</f>
        <v>0</v>
      </c>
      <c r="P66" s="147">
        <f>D65*(M47/D47)</f>
        <v>0</v>
      </c>
      <c r="Q66" s="152">
        <f>+K65</f>
        <v>0</v>
      </c>
      <c r="R66" s="78">
        <f>L65</f>
        <v>0</v>
      </c>
      <c r="S66" s="147">
        <f>M65</f>
        <v>0</v>
      </c>
      <c r="T66" s="124"/>
      <c r="U66" s="78"/>
      <c r="V66" s="78"/>
      <c r="W66" s="78"/>
      <c r="X66" s="78"/>
      <c r="Y66" s="78"/>
      <c r="Z66" s="37" t="str">
        <f>+'%Analysis'!A68</f>
        <v>P2O5</v>
      </c>
    </row>
    <row r="67" spans="1:26" x14ac:dyDescent="0.2">
      <c r="A67" s="138">
        <v>3</v>
      </c>
      <c r="B67" s="78" t="s">
        <v>92</v>
      </c>
      <c r="C67" s="78">
        <f>C65-C66</f>
        <v>0</v>
      </c>
      <c r="D67" s="78">
        <f t="shared" ref="D67:M67" si="6">D65-D66</f>
        <v>0</v>
      </c>
      <c r="E67" s="78">
        <f t="shared" si="6"/>
        <v>0</v>
      </c>
      <c r="F67" s="78">
        <f t="shared" si="6"/>
        <v>0</v>
      </c>
      <c r="G67" s="78">
        <f t="shared" si="6"/>
        <v>0</v>
      </c>
      <c r="H67" s="78">
        <f t="shared" si="6"/>
        <v>0</v>
      </c>
      <c r="I67" s="78">
        <f t="shared" si="6"/>
        <v>0</v>
      </c>
      <c r="J67" s="78">
        <f t="shared" si="6"/>
        <v>0</v>
      </c>
      <c r="K67" s="78">
        <f t="shared" si="6"/>
        <v>0</v>
      </c>
      <c r="L67" s="78">
        <f t="shared" si="6"/>
        <v>0</v>
      </c>
      <c r="M67" s="123">
        <f t="shared" si="6"/>
        <v>0</v>
      </c>
      <c r="N67" s="152"/>
      <c r="O67" s="78"/>
      <c r="P67" s="147"/>
      <c r="Q67" s="152"/>
      <c r="R67" s="78"/>
      <c r="S67" s="147"/>
      <c r="T67" s="124"/>
      <c r="U67" s="78"/>
      <c r="V67" s="78"/>
      <c r="W67" s="78"/>
      <c r="X67" s="78"/>
      <c r="Y67" s="78"/>
      <c r="Z67" s="37" t="str">
        <f>+'%Analysis'!A69</f>
        <v>Petalite</v>
      </c>
    </row>
    <row r="68" spans="1:26" x14ac:dyDescent="0.2">
      <c r="A68" s="138">
        <v>4</v>
      </c>
      <c r="B68" s="78" t="s">
        <v>91</v>
      </c>
      <c r="C68" s="78"/>
      <c r="D68" s="83">
        <f>IF(AND(P68&lt;=S68,N68&lt;=Q68),D67,MIN(S68/P68,Q68/N68)*D67)</f>
        <v>0</v>
      </c>
      <c r="E68" s="78"/>
      <c r="F68" s="78"/>
      <c r="G68" s="82"/>
      <c r="H68" s="78"/>
      <c r="I68" s="78"/>
      <c r="J68" s="78"/>
      <c r="K68" s="78">
        <f>D68*(K48/D48)</f>
        <v>0</v>
      </c>
      <c r="L68" s="78"/>
      <c r="M68" s="123">
        <f>D68*(M48/D48)</f>
        <v>0</v>
      </c>
      <c r="N68" s="152">
        <f>+D67*(K48/D48)</f>
        <v>0</v>
      </c>
      <c r="O68" s="78"/>
      <c r="P68" s="147">
        <f>D67*(M48/D48)</f>
        <v>0</v>
      </c>
      <c r="Q68" s="152">
        <f>K67</f>
        <v>0</v>
      </c>
      <c r="R68" s="78"/>
      <c r="S68" s="147">
        <f>M67</f>
        <v>0</v>
      </c>
      <c r="T68" s="124"/>
      <c r="U68" s="78"/>
      <c r="V68" s="78"/>
      <c r="W68" s="78"/>
      <c r="X68" s="78"/>
      <c r="Y68" s="78"/>
      <c r="Z68" s="37" t="str">
        <f>+'%Analysis'!A70</f>
        <v>PlVit</v>
      </c>
    </row>
    <row r="69" spans="1:26" x14ac:dyDescent="0.2">
      <c r="A69" s="138">
        <v>4</v>
      </c>
      <c r="B69" s="78" t="s">
        <v>92</v>
      </c>
      <c r="C69" s="78">
        <f>C67-C68</f>
        <v>0</v>
      </c>
      <c r="D69" s="78">
        <f t="shared" ref="D69:M69" si="7">D67-D68</f>
        <v>0</v>
      </c>
      <c r="E69" s="78">
        <f t="shared" si="7"/>
        <v>0</v>
      </c>
      <c r="F69" s="78">
        <f t="shared" si="7"/>
        <v>0</v>
      </c>
      <c r="G69" s="78">
        <f t="shared" si="7"/>
        <v>0</v>
      </c>
      <c r="H69" s="78">
        <f t="shared" si="7"/>
        <v>0</v>
      </c>
      <c r="I69" s="78">
        <f t="shared" si="7"/>
        <v>0</v>
      </c>
      <c r="J69" s="78">
        <f t="shared" si="7"/>
        <v>0</v>
      </c>
      <c r="K69" s="78">
        <f t="shared" si="7"/>
        <v>0</v>
      </c>
      <c r="L69" s="78">
        <f t="shared" si="7"/>
        <v>0</v>
      </c>
      <c r="M69" s="123">
        <f t="shared" si="7"/>
        <v>0</v>
      </c>
      <c r="N69" s="152"/>
      <c r="O69" s="78"/>
      <c r="P69" s="147"/>
      <c r="Q69" s="152"/>
      <c r="R69" s="78"/>
      <c r="S69" s="147"/>
      <c r="T69" s="124"/>
      <c r="U69" s="78"/>
      <c r="V69" s="78"/>
      <c r="W69" s="78"/>
      <c r="X69" s="78"/>
      <c r="Y69" s="78"/>
      <c r="Z69" s="37" t="str">
        <f>+'%Analysis'!A71</f>
        <v>Redart</v>
      </c>
    </row>
    <row r="70" spans="1:26" x14ac:dyDescent="0.2">
      <c r="A70" s="156">
        <v>5</v>
      </c>
      <c r="B70" s="157" t="s">
        <v>91</v>
      </c>
      <c r="C70" s="158"/>
      <c r="D70" s="157"/>
      <c r="E70" s="158">
        <f>IF(AND(P70&lt;=S70,N70&lt;=Q70),E69,MIN(S70/P70,Q70/N70)*E69)</f>
        <v>0</v>
      </c>
      <c r="F70" s="157"/>
      <c r="G70" s="159"/>
      <c r="H70" s="157"/>
      <c r="I70" s="157"/>
      <c r="J70" s="157"/>
      <c r="K70" s="157">
        <f>E70*(K49/E49)</f>
        <v>0</v>
      </c>
      <c r="L70" s="157"/>
      <c r="M70" s="160">
        <f>E70*(M49/E49)</f>
        <v>0</v>
      </c>
      <c r="N70" s="152">
        <f>E69*(K49/E49)</f>
        <v>0</v>
      </c>
      <c r="O70" s="78"/>
      <c r="P70" s="147">
        <f>E69*(M49/E49)</f>
        <v>0</v>
      </c>
      <c r="Q70" s="152">
        <f>K69</f>
        <v>0</v>
      </c>
      <c r="R70" s="78"/>
      <c r="S70" s="147">
        <f>M69</f>
        <v>0</v>
      </c>
      <c r="T70" s="124"/>
      <c r="U70" s="78"/>
      <c r="V70" s="78"/>
      <c r="W70" s="78"/>
      <c r="X70" s="78"/>
      <c r="Y70" s="78"/>
      <c r="Z70" s="37" t="str">
        <f>+'%Analysis'!A72</f>
        <v>Rutile</v>
      </c>
    </row>
    <row r="71" spans="1:26" x14ac:dyDescent="0.2">
      <c r="A71" s="156">
        <v>5</v>
      </c>
      <c r="B71" s="157" t="s">
        <v>92</v>
      </c>
      <c r="C71" s="157">
        <f>C69-C70</f>
        <v>0</v>
      </c>
      <c r="D71" s="157">
        <f t="shared" ref="D71:M73" si="8">D69-D70</f>
        <v>0</v>
      </c>
      <c r="E71" s="157">
        <f t="shared" si="8"/>
        <v>0</v>
      </c>
      <c r="F71" s="157">
        <f t="shared" si="8"/>
        <v>0</v>
      </c>
      <c r="G71" s="157">
        <f t="shared" si="8"/>
        <v>0</v>
      </c>
      <c r="H71" s="157">
        <f t="shared" si="8"/>
        <v>0</v>
      </c>
      <c r="I71" s="157">
        <f t="shared" si="8"/>
        <v>0</v>
      </c>
      <c r="J71" s="157">
        <f t="shared" si="8"/>
        <v>0</v>
      </c>
      <c r="K71" s="157">
        <f t="shared" si="8"/>
        <v>0</v>
      </c>
      <c r="L71" s="157">
        <f t="shared" si="8"/>
        <v>0</v>
      </c>
      <c r="M71" s="160">
        <f t="shared" si="8"/>
        <v>0</v>
      </c>
      <c r="N71" s="161"/>
      <c r="O71" s="157"/>
      <c r="P71" s="162"/>
      <c r="Q71" s="161"/>
      <c r="R71" s="157"/>
      <c r="S71" s="162"/>
      <c r="T71" s="124"/>
      <c r="U71" s="78"/>
      <c r="V71" s="123" t="s">
        <v>91</v>
      </c>
      <c r="W71" s="124"/>
      <c r="X71" s="78"/>
      <c r="Y71" s="78"/>
      <c r="Z71" s="37" t="str">
        <f>+'%Analysis'!A73</f>
        <v>Silica</v>
      </c>
    </row>
    <row r="72" spans="1:26" x14ac:dyDescent="0.2">
      <c r="A72" s="138">
        <v>6</v>
      </c>
      <c r="B72" s="78" t="s">
        <v>91</v>
      </c>
      <c r="C72" s="78"/>
      <c r="D72" s="78"/>
      <c r="E72" s="78"/>
      <c r="F72" s="83">
        <f>IF((N72&lt;=K71),F71,(F50/K50)*K71)</f>
        <v>0</v>
      </c>
      <c r="G72" s="78"/>
      <c r="H72" s="78"/>
      <c r="I72" s="78"/>
      <c r="J72" s="78"/>
      <c r="K72" s="78">
        <f>F72*(K50/F50)</f>
        <v>0</v>
      </c>
      <c r="L72" s="78"/>
      <c r="M72" s="123"/>
      <c r="N72" s="152">
        <f>F71*(K50/F50)</f>
        <v>0</v>
      </c>
      <c r="O72" s="78"/>
      <c r="P72" s="147"/>
      <c r="Q72" s="152"/>
      <c r="R72" s="78"/>
      <c r="S72" s="162"/>
      <c r="T72" s="124"/>
      <c r="U72" s="78"/>
      <c r="V72" s="212"/>
      <c r="W72" s="213"/>
      <c r="X72" s="78"/>
      <c r="Y72" s="78"/>
      <c r="Z72" s="37" t="str">
        <f>+'%Analysis'!A74</f>
        <v>SiO2</v>
      </c>
    </row>
    <row r="73" spans="1:26" x14ac:dyDescent="0.2">
      <c r="A73" s="138">
        <v>6</v>
      </c>
      <c r="B73" s="78" t="s">
        <v>92</v>
      </c>
      <c r="C73" s="78">
        <f>C71-C72</f>
        <v>0</v>
      </c>
      <c r="D73" s="78">
        <f t="shared" si="8"/>
        <v>0</v>
      </c>
      <c r="E73" s="78">
        <f t="shared" si="8"/>
        <v>0</v>
      </c>
      <c r="F73" s="78">
        <f t="shared" si="8"/>
        <v>0</v>
      </c>
      <c r="G73" s="78">
        <f t="shared" si="8"/>
        <v>0</v>
      </c>
      <c r="H73" s="78">
        <f t="shared" si="8"/>
        <v>0</v>
      </c>
      <c r="I73" s="78">
        <f t="shared" si="8"/>
        <v>0</v>
      </c>
      <c r="J73" s="78">
        <f t="shared" si="8"/>
        <v>0</v>
      </c>
      <c r="K73" s="78">
        <f t="shared" si="8"/>
        <v>0</v>
      </c>
      <c r="L73" s="78">
        <f t="shared" si="8"/>
        <v>0</v>
      </c>
      <c r="M73" s="123">
        <f t="shared" si="8"/>
        <v>0</v>
      </c>
      <c r="N73" s="152"/>
      <c r="O73" s="78"/>
      <c r="P73" s="147"/>
      <c r="Q73" s="152"/>
      <c r="R73" s="78"/>
      <c r="S73" s="162"/>
      <c r="T73" s="124"/>
      <c r="U73" s="78"/>
      <c r="V73" s="212"/>
      <c r="W73" s="213"/>
      <c r="X73" s="78"/>
      <c r="Y73" s="78"/>
      <c r="Z73" s="37" t="str">
        <f>+'%Analysis'!A75</f>
        <v>Spodumene</v>
      </c>
    </row>
    <row r="74" spans="1:26" x14ac:dyDescent="0.2">
      <c r="A74" s="138">
        <v>7</v>
      </c>
      <c r="B74" s="157" t="s">
        <v>91</v>
      </c>
      <c r="C74" s="157"/>
      <c r="D74" s="157"/>
      <c r="E74" s="158">
        <f>IF(AND(O74&lt;=R74,P74&lt;=S74),E71,(MIN(R74/O74,S74/P74)*E71))</f>
        <v>0</v>
      </c>
      <c r="F74" s="157"/>
      <c r="G74" s="159"/>
      <c r="H74" s="157"/>
      <c r="I74" s="157"/>
      <c r="J74" s="157"/>
      <c r="K74" s="157"/>
      <c r="L74" s="158">
        <f>E74*(L51/E51)</f>
        <v>0</v>
      </c>
      <c r="M74" s="163">
        <f>E74*(M51/E51)</f>
        <v>0</v>
      </c>
      <c r="N74" s="161"/>
      <c r="O74" s="157">
        <f>E71*(L51/E51)</f>
        <v>0</v>
      </c>
      <c r="P74" s="162">
        <f>E71*(M51/E51)</f>
        <v>0</v>
      </c>
      <c r="Q74" s="161"/>
      <c r="R74" s="157">
        <f>L71</f>
        <v>0</v>
      </c>
      <c r="S74" s="162">
        <f>M71</f>
        <v>0</v>
      </c>
      <c r="T74" s="124" t="s">
        <v>95</v>
      </c>
      <c r="U74" s="78" t="s">
        <v>94</v>
      </c>
      <c r="V74" s="140" t="s">
        <v>97</v>
      </c>
      <c r="W74" s="125"/>
      <c r="X74" s="78"/>
      <c r="Y74" s="78"/>
      <c r="Z74" s="37" t="str">
        <f>+'%Analysis'!A76</f>
        <v>SrCarb</v>
      </c>
    </row>
    <row r="75" spans="1:26" x14ac:dyDescent="0.2">
      <c r="A75" s="138">
        <v>7</v>
      </c>
      <c r="B75" s="157" t="s">
        <v>92</v>
      </c>
      <c r="C75" s="78">
        <f t="shared" ref="C75:M77" si="9">C73-C74</f>
        <v>0</v>
      </c>
      <c r="D75" s="78">
        <f t="shared" si="9"/>
        <v>0</v>
      </c>
      <c r="E75" s="78">
        <f t="shared" si="9"/>
        <v>0</v>
      </c>
      <c r="F75" s="78">
        <f t="shared" si="9"/>
        <v>0</v>
      </c>
      <c r="G75" s="78">
        <f t="shared" si="9"/>
        <v>0</v>
      </c>
      <c r="H75" s="78">
        <f t="shared" si="9"/>
        <v>0</v>
      </c>
      <c r="I75" s="78">
        <f t="shared" si="9"/>
        <v>0</v>
      </c>
      <c r="J75" s="78">
        <f t="shared" si="9"/>
        <v>0</v>
      </c>
      <c r="K75" s="78">
        <f t="shared" si="9"/>
        <v>0</v>
      </c>
      <c r="L75" s="78">
        <f t="shared" si="9"/>
        <v>0</v>
      </c>
      <c r="M75" s="78">
        <f t="shared" si="9"/>
        <v>0</v>
      </c>
      <c r="N75" s="161"/>
      <c r="O75" s="157"/>
      <c r="P75" s="162"/>
      <c r="Q75" s="161"/>
      <c r="R75" s="157">
        <f>L75</f>
        <v>0</v>
      </c>
      <c r="S75" s="162">
        <f>M75</f>
        <v>0</v>
      </c>
      <c r="T75" s="124" t="s">
        <v>93</v>
      </c>
      <c r="U75" s="78" t="s">
        <v>93</v>
      </c>
      <c r="V75" s="141" t="s">
        <v>98</v>
      </c>
      <c r="W75" s="122"/>
      <c r="X75" s="78"/>
      <c r="Y75" s="78"/>
      <c r="Z75" s="37" t="str">
        <f>+'%Analysis'!A77</f>
        <v>SrO</v>
      </c>
    </row>
    <row r="76" spans="1:26" x14ac:dyDescent="0.2">
      <c r="A76" s="138">
        <v>8</v>
      </c>
      <c r="B76" s="78" t="s">
        <v>91</v>
      </c>
      <c r="C76" s="78"/>
      <c r="D76" s="78"/>
      <c r="E76" s="83"/>
      <c r="F76" s="83">
        <f>IF(U76=0,0,IF(AND(O76&lt;=R76,P76&lt;=S76),V76,(MIN(R76/O76,S76/P76)*V76)))</f>
        <v>0</v>
      </c>
      <c r="G76" s="82"/>
      <c r="H76" s="78"/>
      <c r="I76" s="78"/>
      <c r="J76" s="83">
        <f>IF(U76=0,0,IF(AND(O76&lt;R76,P76&lt;S76),W76,(MIN(R76/O76,S76/P76)*W76)))</f>
        <v>0</v>
      </c>
      <c r="K76" s="83"/>
      <c r="L76" s="78">
        <f>J76*(L52/J52)</f>
        <v>0</v>
      </c>
      <c r="M76" s="123">
        <f>J76*(M52/J52)</f>
        <v>0</v>
      </c>
      <c r="N76" s="152"/>
      <c r="O76" s="78">
        <f>V76*(L52/F52)</f>
        <v>0</v>
      </c>
      <c r="P76" s="147">
        <f>V76*(M52/F52)</f>
        <v>0</v>
      </c>
      <c r="Q76" s="152"/>
      <c r="R76" s="78">
        <f>R75</f>
        <v>0</v>
      </c>
      <c r="S76" s="147">
        <f>S75</f>
        <v>0</v>
      </c>
      <c r="T76" s="124">
        <f>F52/J52</f>
        <v>0.82222222222222219</v>
      </c>
      <c r="U76" s="78">
        <f>IF(OR(J61=0,F61=0),0,F75/J75)</f>
        <v>0</v>
      </c>
      <c r="V76" s="78">
        <f>IF(U76&lt;T76,F75,(J75*T76))</f>
        <v>0</v>
      </c>
      <c r="W76" s="78">
        <f>IF(U76&gt;T76,J75,F75/T76)</f>
        <v>0</v>
      </c>
      <c r="X76" s="78"/>
      <c r="Y76" s="78"/>
      <c r="Z76" s="37" t="str">
        <f>+'%Analysis'!A78</f>
        <v>Superpax</v>
      </c>
    </row>
    <row r="77" spans="1:26" x14ac:dyDescent="0.2">
      <c r="A77" s="138">
        <v>8</v>
      </c>
      <c r="B77" s="78" t="s">
        <v>92</v>
      </c>
      <c r="C77" s="78">
        <f t="shared" si="9"/>
        <v>0</v>
      </c>
      <c r="D77" s="78">
        <f t="shared" si="9"/>
        <v>0</v>
      </c>
      <c r="E77" s="78">
        <f t="shared" si="9"/>
        <v>0</v>
      </c>
      <c r="F77" s="78">
        <f t="shared" si="9"/>
        <v>0</v>
      </c>
      <c r="G77" s="78">
        <f t="shared" si="9"/>
        <v>0</v>
      </c>
      <c r="H77" s="78">
        <f t="shared" si="9"/>
        <v>0</v>
      </c>
      <c r="I77" s="78">
        <f t="shared" si="9"/>
        <v>0</v>
      </c>
      <c r="J77" s="78">
        <f>J75-J76</f>
        <v>0</v>
      </c>
      <c r="K77" s="78">
        <f>K75-K76</f>
        <v>0</v>
      </c>
      <c r="L77" s="78">
        <f>L75-L76</f>
        <v>0</v>
      </c>
      <c r="M77" s="123">
        <f>M75-M76</f>
        <v>0</v>
      </c>
      <c r="N77" s="152"/>
      <c r="O77" s="78"/>
      <c r="P77" s="147"/>
      <c r="Q77" s="152"/>
      <c r="R77" s="78">
        <f>L77</f>
        <v>0</v>
      </c>
      <c r="S77" s="147">
        <f>M77</f>
        <v>0</v>
      </c>
      <c r="T77" s="124"/>
      <c r="U77" s="78"/>
      <c r="V77" s="78"/>
      <c r="W77" s="78"/>
      <c r="X77" s="78"/>
      <c r="Y77" s="78"/>
      <c r="Z77" s="37" t="str">
        <f>+'%Analysis'!A79</f>
        <v>Talc - NYTAL</v>
      </c>
    </row>
    <row r="78" spans="1:26" x14ac:dyDescent="0.2">
      <c r="A78" s="138">
        <v>9</v>
      </c>
      <c r="B78" s="78" t="s">
        <v>91</v>
      </c>
      <c r="C78" s="78"/>
      <c r="D78" s="78"/>
      <c r="E78" s="78"/>
      <c r="G78" s="82"/>
      <c r="H78" s="83">
        <f>IF(AND(O78&lt;=R78,P78&lt;=S78),H77,MIN(R78/O78,S78/P78)*H77)</f>
        <v>0</v>
      </c>
      <c r="I78" s="78"/>
      <c r="J78" s="78"/>
      <c r="K78" s="78"/>
      <c r="L78" s="78">
        <f>H78*(L53/H53)</f>
        <v>0</v>
      </c>
      <c r="M78" s="123">
        <f>H78*(M53/H53)</f>
        <v>0</v>
      </c>
      <c r="N78" s="152"/>
      <c r="O78" s="78">
        <f>H77*(L53/H53)</f>
        <v>0</v>
      </c>
      <c r="P78" s="147">
        <f>H77*(M53/H53)</f>
        <v>0</v>
      </c>
      <c r="Q78" s="152"/>
      <c r="R78" s="78">
        <f>R77</f>
        <v>0</v>
      </c>
      <c r="S78" s="147">
        <f>S77</f>
        <v>0</v>
      </c>
      <c r="T78" s="124"/>
      <c r="U78" s="78"/>
      <c r="V78" s="78"/>
      <c r="W78" s="78"/>
      <c r="X78" s="78"/>
      <c r="Y78" s="78"/>
      <c r="Z78" s="37" t="str">
        <f>+'%Analysis'!A80</f>
        <v>Talc - Texas</v>
      </c>
    </row>
    <row r="79" spans="1:26" x14ac:dyDescent="0.2">
      <c r="A79" s="138">
        <v>9</v>
      </c>
      <c r="B79" s="78" t="s">
        <v>92</v>
      </c>
      <c r="C79" s="78">
        <f t="shared" ref="C79:I79" si="10">C77-C78</f>
        <v>0</v>
      </c>
      <c r="D79" s="78">
        <f t="shared" si="10"/>
        <v>0</v>
      </c>
      <c r="E79" s="78">
        <f t="shared" si="10"/>
        <v>0</v>
      </c>
      <c r="F79" s="78">
        <f t="shared" si="10"/>
        <v>0</v>
      </c>
      <c r="G79" s="78">
        <f t="shared" si="10"/>
        <v>0</v>
      </c>
      <c r="H79" s="78">
        <f t="shared" si="10"/>
        <v>0</v>
      </c>
      <c r="I79" s="78">
        <f t="shared" si="10"/>
        <v>0</v>
      </c>
      <c r="J79" s="78">
        <f>J77-J78</f>
        <v>0</v>
      </c>
      <c r="K79" s="78">
        <f>K77-K78</f>
        <v>0</v>
      </c>
      <c r="L79" s="78">
        <f>L77-L78</f>
        <v>0</v>
      </c>
      <c r="M79" s="123">
        <f>M77-M78</f>
        <v>0</v>
      </c>
      <c r="N79" s="152"/>
      <c r="O79" s="78"/>
      <c r="P79" s="147"/>
      <c r="Q79" s="152"/>
      <c r="R79" s="78"/>
      <c r="S79" s="147"/>
      <c r="T79" s="124"/>
      <c r="U79" s="78"/>
      <c r="V79" s="78"/>
      <c r="W79" s="78"/>
      <c r="X79" s="78"/>
      <c r="Y79" s="78"/>
      <c r="Z79" s="37" t="str">
        <f>+'%Analysis'!A81</f>
        <v>TinOxide</v>
      </c>
    </row>
    <row r="80" spans="1:26" x14ac:dyDescent="0.2">
      <c r="A80" s="156">
        <v>10</v>
      </c>
      <c r="B80" s="78" t="s">
        <v>91</v>
      </c>
      <c r="C80" s="78"/>
      <c r="D80" s="78"/>
      <c r="E80" s="78"/>
      <c r="F80" s="158">
        <f>IF(AND(P80&lt;=S80,O80&lt;=R80),F79,MIN(S80/P80,R80/O80)*F79)</f>
        <v>0</v>
      </c>
      <c r="G80" s="82"/>
      <c r="H80" s="78"/>
      <c r="I80" s="78"/>
      <c r="J80" s="78"/>
      <c r="K80" s="78"/>
      <c r="L80" s="78">
        <f>F80*(L54/F54)</f>
        <v>0</v>
      </c>
      <c r="M80" s="123">
        <f>F80*(M54/F54)</f>
        <v>0</v>
      </c>
      <c r="N80" s="152"/>
      <c r="O80" s="78">
        <f>F79*(L54/F54)</f>
        <v>0</v>
      </c>
      <c r="P80" s="147">
        <f>F79*(M54/F54)</f>
        <v>0</v>
      </c>
      <c r="Q80" s="152"/>
      <c r="R80" s="78">
        <f>L79</f>
        <v>0</v>
      </c>
      <c r="S80" s="147">
        <f>M79</f>
        <v>0</v>
      </c>
      <c r="T80" s="124"/>
      <c r="U80" s="78"/>
      <c r="V80" s="78"/>
      <c r="W80" s="78"/>
      <c r="X80" s="78"/>
      <c r="Y80" s="78"/>
      <c r="Z80" s="37" t="str">
        <f>+'%Analysis'!A82</f>
        <v>TiO2</v>
      </c>
    </row>
    <row r="81" spans="1:26" x14ac:dyDescent="0.2">
      <c r="A81" s="156">
        <v>10</v>
      </c>
      <c r="B81" s="78" t="s">
        <v>92</v>
      </c>
      <c r="C81" s="78">
        <f>C79-C80</f>
        <v>0</v>
      </c>
      <c r="D81" s="78">
        <f t="shared" ref="D81:M81" si="11">D79-D80</f>
        <v>0</v>
      </c>
      <c r="E81" s="78">
        <f t="shared" si="11"/>
        <v>0</v>
      </c>
      <c r="F81" s="78">
        <f t="shared" si="11"/>
        <v>0</v>
      </c>
      <c r="G81" s="78">
        <f t="shared" si="11"/>
        <v>0</v>
      </c>
      <c r="H81" s="78">
        <f t="shared" si="11"/>
        <v>0</v>
      </c>
      <c r="I81" s="78">
        <f t="shared" si="11"/>
        <v>0</v>
      </c>
      <c r="J81" s="78">
        <f t="shared" si="11"/>
        <v>0</v>
      </c>
      <c r="K81" s="78">
        <f t="shared" si="11"/>
        <v>0</v>
      </c>
      <c r="L81" s="78">
        <f t="shared" si="11"/>
        <v>0</v>
      </c>
      <c r="M81" s="123">
        <f t="shared" si="11"/>
        <v>0</v>
      </c>
      <c r="N81" s="152"/>
      <c r="O81" s="78"/>
      <c r="P81" s="147"/>
      <c r="Q81" s="152"/>
      <c r="R81" s="78">
        <f>L81</f>
        <v>0</v>
      </c>
      <c r="S81" s="147">
        <f>M81</f>
        <v>0</v>
      </c>
      <c r="T81" s="124"/>
      <c r="U81" s="78"/>
      <c r="V81" s="78"/>
      <c r="W81" s="78"/>
      <c r="X81" s="78"/>
      <c r="Y81" s="78"/>
      <c r="Z81" s="37" t="str">
        <f>+'%Analysis'!A83</f>
        <v>Ultrox</v>
      </c>
    </row>
    <row r="82" spans="1:26" x14ac:dyDescent="0.2">
      <c r="A82" s="138">
        <v>11</v>
      </c>
      <c r="B82" s="78" t="s">
        <v>91</v>
      </c>
      <c r="C82" s="78"/>
      <c r="D82" s="78"/>
      <c r="E82" s="78"/>
      <c r="F82" s="78"/>
      <c r="G82" s="82"/>
      <c r="H82" s="78"/>
      <c r="I82" s="83">
        <f>IF(J2=TRUE,IF(AND(O82&lt;=R82,P82&lt;=S82),I81,MIN(R82/O82,S82/P82)*I81),0)</f>
        <v>0</v>
      </c>
      <c r="J82" s="78"/>
      <c r="K82" s="78"/>
      <c r="L82" s="78">
        <f>I82*(L55/I55)</f>
        <v>0</v>
      </c>
      <c r="M82" s="123">
        <f>I82*(M55/I55)</f>
        <v>0</v>
      </c>
      <c r="N82" s="152"/>
      <c r="O82" s="78">
        <f>I81*(L55/I55)</f>
        <v>0</v>
      </c>
      <c r="P82" s="147">
        <f>I81*(M55/I55)</f>
        <v>0</v>
      </c>
      <c r="Q82" s="152"/>
      <c r="R82" s="78">
        <f>R81</f>
        <v>0</v>
      </c>
      <c r="S82" s="147">
        <f>S81</f>
        <v>0</v>
      </c>
      <c r="T82" s="124"/>
      <c r="U82" s="78"/>
      <c r="V82" s="78"/>
      <c r="W82" s="78"/>
      <c r="X82" s="78"/>
      <c r="Y82" s="78"/>
      <c r="Z82" s="37" t="str">
        <f>+'%Analysis'!A84</f>
        <v>Veegum</v>
      </c>
    </row>
    <row r="83" spans="1:26" x14ac:dyDescent="0.2">
      <c r="A83" s="138">
        <v>11</v>
      </c>
      <c r="B83" s="78" t="s">
        <v>92</v>
      </c>
      <c r="C83" s="78">
        <f>C81-C82</f>
        <v>0</v>
      </c>
      <c r="D83" s="78">
        <f t="shared" ref="D83:M83" si="12">D81-D82</f>
        <v>0</v>
      </c>
      <c r="E83" s="78">
        <f t="shared" si="12"/>
        <v>0</v>
      </c>
      <c r="F83" s="78">
        <f t="shared" si="12"/>
        <v>0</v>
      </c>
      <c r="G83" s="78">
        <f t="shared" si="12"/>
        <v>0</v>
      </c>
      <c r="H83" s="78">
        <f t="shared" si="12"/>
        <v>0</v>
      </c>
      <c r="I83" s="78">
        <f t="shared" si="12"/>
        <v>0</v>
      </c>
      <c r="J83" s="78">
        <f t="shared" si="12"/>
        <v>0</v>
      </c>
      <c r="K83" s="78">
        <f t="shared" si="12"/>
        <v>0</v>
      </c>
      <c r="L83" s="78">
        <f t="shared" si="12"/>
        <v>0</v>
      </c>
      <c r="M83" s="123">
        <f t="shared" si="12"/>
        <v>0</v>
      </c>
      <c r="N83" s="152"/>
      <c r="O83" s="78"/>
      <c r="P83" s="147"/>
      <c r="Q83" s="152"/>
      <c r="R83" s="78">
        <f>L83</f>
        <v>0</v>
      </c>
      <c r="S83" s="147">
        <f>M83</f>
        <v>0</v>
      </c>
      <c r="T83" s="124"/>
      <c r="U83" s="78"/>
      <c r="V83" s="78"/>
      <c r="W83" s="78"/>
      <c r="X83" s="78"/>
      <c r="Y83" s="78"/>
      <c r="Z83" s="37" t="str">
        <f>+'%Analysis'!A85</f>
        <v>VolAsh</v>
      </c>
    </row>
    <row r="84" spans="1:26" x14ac:dyDescent="0.2">
      <c r="A84" s="138">
        <v>12</v>
      </c>
      <c r="B84" s="78" t="s">
        <v>91</v>
      </c>
      <c r="C84" s="78"/>
      <c r="D84" s="78"/>
      <c r="E84" s="78"/>
      <c r="F84" s="78"/>
      <c r="G84" s="83">
        <f>IF(M2=TRUE,IF(AND(O84&lt;=R84,P84&lt;=S84),G83,MIN(R84/O84,S84/P84)*G83),0)</f>
        <v>0</v>
      </c>
      <c r="H84" s="78"/>
      <c r="I84" s="78"/>
      <c r="J84" s="78"/>
      <c r="K84" s="78"/>
      <c r="L84" s="78">
        <f>G84*(L56/G56)</f>
        <v>0</v>
      </c>
      <c r="M84" s="123">
        <f>G84*(M56/G56)</f>
        <v>0</v>
      </c>
      <c r="N84" s="152"/>
      <c r="O84" s="78">
        <f>G83*(L56/G56)</f>
        <v>0</v>
      </c>
      <c r="P84" s="147">
        <f>G83*(M56/G56)</f>
        <v>0</v>
      </c>
      <c r="Q84" s="152"/>
      <c r="R84" s="78">
        <f>R83</f>
        <v>0</v>
      </c>
      <c r="S84" s="147">
        <f>S83</f>
        <v>0</v>
      </c>
      <c r="T84" s="124"/>
      <c r="U84" s="78"/>
      <c r="V84" s="78"/>
      <c r="W84" s="78"/>
      <c r="X84" s="78"/>
      <c r="Y84" s="78"/>
      <c r="Z84" s="37" t="str">
        <f>+'%Analysis'!A86</f>
        <v>Westex Talc</v>
      </c>
    </row>
    <row r="85" spans="1:26" ht="13.5" thickBot="1" x14ac:dyDescent="0.25">
      <c r="A85" s="138">
        <v>12</v>
      </c>
      <c r="B85" s="78" t="s">
        <v>92</v>
      </c>
      <c r="C85" s="78">
        <f>C83-C84</f>
        <v>0</v>
      </c>
      <c r="D85" s="78">
        <f t="shared" ref="D85:M85" si="13">D83-D84</f>
        <v>0</v>
      </c>
      <c r="E85" s="78">
        <f t="shared" si="13"/>
        <v>0</v>
      </c>
      <c r="F85" s="78">
        <f t="shared" si="13"/>
        <v>0</v>
      </c>
      <c r="G85" s="78">
        <f t="shared" si="13"/>
        <v>0</v>
      </c>
      <c r="H85" s="78">
        <f t="shared" si="13"/>
        <v>0</v>
      </c>
      <c r="I85" s="78">
        <f t="shared" si="13"/>
        <v>0</v>
      </c>
      <c r="J85" s="78">
        <f t="shared" si="13"/>
        <v>0</v>
      </c>
      <c r="K85" s="78">
        <f t="shared" si="13"/>
        <v>0</v>
      </c>
      <c r="L85" s="78">
        <f t="shared" si="13"/>
        <v>0</v>
      </c>
      <c r="M85" s="123">
        <f t="shared" si="13"/>
        <v>0</v>
      </c>
      <c r="N85" s="153"/>
      <c r="O85" s="148"/>
      <c r="P85" s="149"/>
      <c r="Q85" s="153"/>
      <c r="R85" s="148"/>
      <c r="S85" s="149"/>
      <c r="T85" s="124"/>
      <c r="U85" s="78"/>
      <c r="V85" s="78"/>
      <c r="W85" s="78"/>
      <c r="X85" s="78"/>
      <c r="Y85" s="78"/>
      <c r="Z85" s="37" t="str">
        <f>+'%Analysis'!A87</f>
        <v>Whiting</v>
      </c>
    </row>
    <row r="86" spans="1:26" x14ac:dyDescent="0.2">
      <c r="A86" s="53"/>
      <c r="B86" s="38" t="s">
        <v>101</v>
      </c>
      <c r="C86" s="38">
        <f t="shared" ref="C86:K86" si="14">C61-C85</f>
        <v>0</v>
      </c>
      <c r="D86" s="38">
        <f t="shared" si="14"/>
        <v>0</v>
      </c>
      <c r="E86" s="38">
        <f t="shared" si="14"/>
        <v>0</v>
      </c>
      <c r="F86" s="38">
        <f t="shared" si="14"/>
        <v>0</v>
      </c>
      <c r="G86" s="38">
        <f t="shared" si="14"/>
        <v>0</v>
      </c>
      <c r="H86" s="38">
        <f t="shared" si="14"/>
        <v>0</v>
      </c>
      <c r="I86" s="38">
        <f t="shared" si="14"/>
        <v>0</v>
      </c>
      <c r="J86" s="38">
        <f>J61-J85</f>
        <v>0</v>
      </c>
      <c r="K86" s="38">
        <f t="shared" si="14"/>
        <v>0</v>
      </c>
      <c r="L86" s="38">
        <f>L61-L85</f>
        <v>0</v>
      </c>
      <c r="M86" s="38">
        <f>M61-M85</f>
        <v>0</v>
      </c>
      <c r="O86" s="37"/>
      <c r="P86" s="37"/>
      <c r="R86" s="37"/>
      <c r="S86" s="37"/>
      <c r="T86" s="77"/>
      <c r="U86" s="77"/>
      <c r="V86" s="37"/>
      <c r="W86" s="37"/>
      <c r="X86" s="37"/>
      <c r="Y86" s="37"/>
      <c r="Z86" s="37" t="str">
        <f>+'%Analysis'!A88</f>
        <v>Wollastonite</v>
      </c>
    </row>
    <row r="87" spans="1:26" x14ac:dyDescent="0.2">
      <c r="A87" s="53"/>
      <c r="B87" s="38" t="s">
        <v>43</v>
      </c>
      <c r="C87" s="75">
        <v>94.195999999999998</v>
      </c>
      <c r="D87" s="75">
        <v>61.978999999999999</v>
      </c>
      <c r="E87" s="75">
        <v>29.881</v>
      </c>
      <c r="F87" s="75">
        <v>56.076999999999998</v>
      </c>
      <c r="G87" s="75">
        <v>40.304000000000002</v>
      </c>
      <c r="H87" s="75">
        <v>153.32599999999999</v>
      </c>
      <c r="I87" s="75">
        <v>103.619</v>
      </c>
      <c r="J87" s="75">
        <v>81.379000000000005</v>
      </c>
      <c r="K87" s="75">
        <v>69.62</v>
      </c>
      <c r="L87" s="75">
        <v>101.961</v>
      </c>
      <c r="M87" s="75">
        <v>60.084000000000003</v>
      </c>
      <c r="O87" s="84"/>
      <c r="P87" s="37"/>
      <c r="R87" s="37"/>
      <c r="S87" s="37"/>
      <c r="T87" s="77"/>
      <c r="U87" s="77"/>
      <c r="V87" s="37"/>
      <c r="W87" s="37"/>
      <c r="X87" s="37"/>
      <c r="Y87" s="37"/>
      <c r="Z87" s="37" t="str">
        <f>+'%Analysis'!A89</f>
        <v>Yellow Ochre</v>
      </c>
    </row>
    <row r="88" spans="1:26" x14ac:dyDescent="0.2">
      <c r="A88" s="53"/>
      <c r="B88" s="85">
        <f>SUM(C88:J88)</f>
        <v>0</v>
      </c>
      <c r="C88" s="75">
        <f>C86/C87</f>
        <v>0</v>
      </c>
      <c r="D88" s="75">
        <f>D86/D87</f>
        <v>0</v>
      </c>
      <c r="E88" s="75">
        <f>E86/E87</f>
        <v>0</v>
      </c>
      <c r="F88" s="75">
        <f>F86/F87</f>
        <v>0</v>
      </c>
      <c r="G88" s="75">
        <f>IF(M2=TRUE,G86/G87,0)</f>
        <v>0</v>
      </c>
      <c r="H88" s="75">
        <f>H86/H87</f>
        <v>0</v>
      </c>
      <c r="I88" s="75">
        <f>IF(J2=TRUE,I86/I87,0)</f>
        <v>0</v>
      </c>
      <c r="J88" s="75">
        <f>J86/J87</f>
        <v>0</v>
      </c>
      <c r="K88" s="75">
        <f>K86/K87</f>
        <v>0</v>
      </c>
      <c r="L88" s="75">
        <f>L86/L87</f>
        <v>0</v>
      </c>
      <c r="M88" s="75">
        <f>M86/M87</f>
        <v>0</v>
      </c>
      <c r="O88" s="37"/>
      <c r="P88" s="37"/>
      <c r="R88" s="37"/>
      <c r="S88" s="38"/>
      <c r="T88" s="77"/>
      <c r="U88" s="77"/>
      <c r="V88" s="37" t="e">
        <f>V76/W76</f>
        <v>#DIV/0!</v>
      </c>
      <c r="W88" s="37"/>
      <c r="X88" s="37"/>
      <c r="Y88" s="37"/>
      <c r="Z88" s="37" t="str">
        <f>+'%Analysis'!A90</f>
        <v>Zircopax</v>
      </c>
    </row>
    <row r="89" spans="1:26" x14ac:dyDescent="0.2">
      <c r="A89" s="53"/>
      <c r="B89" s="38" t="s">
        <v>101</v>
      </c>
      <c r="C89" s="86" t="e">
        <f t="shared" ref="C89:J89" si="15">C88/$B$88</f>
        <v>#DIV/0!</v>
      </c>
      <c r="D89" s="86" t="e">
        <f t="shared" si="15"/>
        <v>#DIV/0!</v>
      </c>
      <c r="E89" s="86" t="e">
        <f t="shared" si="15"/>
        <v>#DIV/0!</v>
      </c>
      <c r="F89" s="86" t="e">
        <f t="shared" si="15"/>
        <v>#DIV/0!</v>
      </c>
      <c r="G89" s="86" t="e">
        <f t="shared" si="15"/>
        <v>#DIV/0!</v>
      </c>
      <c r="H89" s="86" t="e">
        <f t="shared" si="15"/>
        <v>#DIV/0!</v>
      </c>
      <c r="I89" s="86" t="e">
        <f t="shared" si="15"/>
        <v>#DIV/0!</v>
      </c>
      <c r="J89" s="86" t="e">
        <f t="shared" si="15"/>
        <v>#DIV/0!</v>
      </c>
      <c r="K89" s="86" t="e">
        <f>K88/$B$88</f>
        <v>#DIV/0!</v>
      </c>
      <c r="L89" s="86" t="e">
        <f>L88/$B$88</f>
        <v>#DIV/0!</v>
      </c>
      <c r="M89" s="86" t="e">
        <f>M88/$B$88</f>
        <v>#DIV/0!</v>
      </c>
      <c r="O89" s="37"/>
      <c r="P89" s="37"/>
      <c r="R89" s="37"/>
      <c r="S89" s="38"/>
      <c r="T89" s="77"/>
      <c r="U89" s="77"/>
      <c r="V89" s="37"/>
      <c r="W89" s="37"/>
      <c r="X89" s="37"/>
      <c r="Y89" s="37"/>
      <c r="Z89" s="37" t="str">
        <f>+'%Analysis'!A91</f>
        <v>ZnO</v>
      </c>
    </row>
    <row r="90" spans="1:26" x14ac:dyDescent="0.2">
      <c r="A90" s="53"/>
      <c r="B90" s="38" t="s">
        <v>88</v>
      </c>
      <c r="C90" s="86" t="e">
        <f t="shared" ref="C90:I90" si="16">(C85/C87)/$B$88</f>
        <v>#DIV/0!</v>
      </c>
      <c r="D90" s="86" t="e">
        <f t="shared" si="16"/>
        <v>#DIV/0!</v>
      </c>
      <c r="E90" s="86" t="e">
        <f t="shared" si="16"/>
        <v>#DIV/0!</v>
      </c>
      <c r="F90" s="86" t="e">
        <f t="shared" si="16"/>
        <v>#DIV/0!</v>
      </c>
      <c r="G90" s="86" t="e">
        <f t="shared" si="16"/>
        <v>#DIV/0!</v>
      </c>
      <c r="H90" s="86" t="e">
        <f t="shared" si="16"/>
        <v>#DIV/0!</v>
      </c>
      <c r="I90" s="86" t="e">
        <f t="shared" si="16"/>
        <v>#DIV/0!</v>
      </c>
      <c r="J90" s="86" t="e">
        <f>(J85/J87)/$B$88</f>
        <v>#DIV/0!</v>
      </c>
      <c r="K90" s="86" t="e">
        <f>(K85/K87)/$B$88</f>
        <v>#DIV/0!</v>
      </c>
      <c r="L90" s="86" t="e">
        <f>(L85/L87)/$B$88</f>
        <v>#DIV/0!</v>
      </c>
      <c r="M90" s="86" t="e">
        <f>(M85/M87)/$B$88</f>
        <v>#DIV/0!</v>
      </c>
      <c r="O90" s="37"/>
      <c r="P90" s="37"/>
      <c r="R90" s="37"/>
      <c r="S90" s="38"/>
      <c r="T90" s="77"/>
      <c r="U90" s="77"/>
      <c r="V90" s="37"/>
      <c r="W90" s="37"/>
      <c r="X90" s="37"/>
      <c r="Y90" s="37"/>
      <c r="Z90" s="37">
        <f>+'%Analysis'!A92</f>
        <v>0</v>
      </c>
    </row>
    <row r="91" spans="1:26" x14ac:dyDescent="0.2">
      <c r="A91" s="53"/>
      <c r="B91" s="38" t="s">
        <v>102</v>
      </c>
      <c r="C91" s="75">
        <f t="shared" ref="C91:I91" si="17">C61/C87</f>
        <v>0</v>
      </c>
      <c r="D91" s="75">
        <f t="shared" si="17"/>
        <v>0</v>
      </c>
      <c r="E91" s="75">
        <f t="shared" si="17"/>
        <v>0</v>
      </c>
      <c r="F91" s="75">
        <f t="shared" si="17"/>
        <v>0</v>
      </c>
      <c r="G91" s="75">
        <f t="shared" si="17"/>
        <v>0</v>
      </c>
      <c r="H91" s="75">
        <f t="shared" si="17"/>
        <v>0</v>
      </c>
      <c r="I91" s="75">
        <f t="shared" si="17"/>
        <v>0</v>
      </c>
      <c r="J91" s="75">
        <f>J61/J87</f>
        <v>0</v>
      </c>
      <c r="K91" s="75">
        <f>K61/K87</f>
        <v>0</v>
      </c>
      <c r="L91" s="75">
        <f>L61/L87</f>
        <v>0</v>
      </c>
      <c r="M91" s="75">
        <f>M61/M87</f>
        <v>0</v>
      </c>
      <c r="O91" s="37"/>
      <c r="P91" s="37"/>
      <c r="R91" s="37"/>
      <c r="S91" s="38"/>
      <c r="T91" s="77"/>
      <c r="U91" s="77"/>
      <c r="V91" s="37"/>
      <c r="W91" s="37"/>
      <c r="X91" s="37"/>
      <c r="Y91" s="37"/>
      <c r="Z91" s="37">
        <f>+'%Analysis'!A93</f>
        <v>0</v>
      </c>
    </row>
    <row r="92" spans="1:26" x14ac:dyDescent="0.2">
      <c r="A92" s="53"/>
      <c r="B92" s="87">
        <f>SUM(C91:J91)</f>
        <v>0</v>
      </c>
      <c r="C92" s="86" t="e">
        <f t="shared" ref="C92:J92" si="18">C91/$B$92</f>
        <v>#DIV/0!</v>
      </c>
      <c r="D92" s="86" t="e">
        <f t="shared" si="18"/>
        <v>#DIV/0!</v>
      </c>
      <c r="E92" s="86" t="e">
        <f t="shared" si="18"/>
        <v>#DIV/0!</v>
      </c>
      <c r="F92" s="86" t="e">
        <f t="shared" si="18"/>
        <v>#DIV/0!</v>
      </c>
      <c r="G92" s="86" t="e">
        <f t="shared" si="18"/>
        <v>#DIV/0!</v>
      </c>
      <c r="H92" s="86" t="e">
        <f t="shared" si="18"/>
        <v>#DIV/0!</v>
      </c>
      <c r="I92" s="86" t="e">
        <f t="shared" si="18"/>
        <v>#DIV/0!</v>
      </c>
      <c r="J92" s="86" t="e">
        <f t="shared" si="18"/>
        <v>#DIV/0!</v>
      </c>
      <c r="K92" s="86" t="e">
        <f>K91/$B$92</f>
        <v>#DIV/0!</v>
      </c>
      <c r="L92" s="86" t="e">
        <f>L91/$B$92</f>
        <v>#DIV/0!</v>
      </c>
      <c r="M92" s="86" t="e">
        <f>M91/$B$92</f>
        <v>#DIV/0!</v>
      </c>
      <c r="O92" s="37"/>
      <c r="P92" s="37"/>
      <c r="R92" s="37"/>
      <c r="S92" s="38"/>
      <c r="T92" s="77"/>
      <c r="U92" s="77"/>
      <c r="V92" s="37"/>
      <c r="W92" s="37"/>
      <c r="X92" s="37"/>
      <c r="Y92" s="37"/>
      <c r="Z92" s="37">
        <f>+'%Analysis'!A94</f>
        <v>0</v>
      </c>
    </row>
    <row r="93" spans="1:26" x14ac:dyDescent="0.2">
      <c r="A93" s="53"/>
      <c r="B93" s="13"/>
      <c r="C93" s="61"/>
      <c r="D93" s="61"/>
      <c r="E93" s="61"/>
      <c r="F93" s="61"/>
      <c r="G93" s="61"/>
      <c r="H93" s="61"/>
      <c r="I93" s="61"/>
      <c r="J93" s="61"/>
      <c r="K93" s="61"/>
      <c r="L93" s="61"/>
      <c r="Q93" s="33"/>
      <c r="R93" s="23"/>
      <c r="S93" s="23"/>
      <c r="Z93" s="37">
        <f>+'%Analysis'!A95</f>
        <v>0</v>
      </c>
    </row>
    <row r="94" spans="1:26" x14ac:dyDescent="0.2">
      <c r="A94" s="53"/>
      <c r="B94" s="13"/>
      <c r="C94" s="61" t="s">
        <v>2</v>
      </c>
      <c r="D94" s="61" t="s">
        <v>3</v>
      </c>
      <c r="E94" s="61" t="s">
        <v>4</v>
      </c>
      <c r="F94" s="61" t="s">
        <v>5</v>
      </c>
      <c r="G94" s="61" t="s">
        <v>6</v>
      </c>
      <c r="H94" s="61" t="s">
        <v>9</v>
      </c>
      <c r="I94" s="61" t="s">
        <v>7</v>
      </c>
      <c r="J94" s="61" t="s">
        <v>8</v>
      </c>
      <c r="K94" s="61" t="s">
        <v>10</v>
      </c>
      <c r="L94" s="116" t="s">
        <v>13</v>
      </c>
      <c r="M94" s="61" t="s">
        <v>11</v>
      </c>
      <c r="O94" s="40" t="s">
        <v>12</v>
      </c>
      <c r="P94" s="116" t="s">
        <v>14</v>
      </c>
      <c r="Q94" s="33"/>
      <c r="R94" s="23"/>
      <c r="S94" s="23"/>
      <c r="Z94" s="37">
        <f>+'%Analysis'!A96</f>
        <v>0</v>
      </c>
    </row>
    <row r="95" spans="1:26" x14ac:dyDescent="0.2">
      <c r="A95" s="44"/>
      <c r="B95" s="117" t="s">
        <v>135</v>
      </c>
      <c r="C95" s="43" t="e">
        <f t="shared" ref="C95:J95" si="19">+C86/(SUM($C$86:$M$86))</f>
        <v>#DIV/0!</v>
      </c>
      <c r="D95" s="43" t="e">
        <f t="shared" si="19"/>
        <v>#DIV/0!</v>
      </c>
      <c r="E95" s="43" t="e">
        <f t="shared" si="19"/>
        <v>#DIV/0!</v>
      </c>
      <c r="F95" s="43" t="e">
        <f t="shared" si="19"/>
        <v>#DIV/0!</v>
      </c>
      <c r="G95" s="43" t="e">
        <f t="shared" si="19"/>
        <v>#DIV/0!</v>
      </c>
      <c r="H95" s="43" t="e">
        <f t="shared" si="19"/>
        <v>#DIV/0!</v>
      </c>
      <c r="I95" s="43" t="e">
        <f t="shared" si="19"/>
        <v>#DIV/0!</v>
      </c>
      <c r="J95" s="43" t="e">
        <f t="shared" si="19"/>
        <v>#DIV/0!</v>
      </c>
      <c r="K95" s="43" t="e">
        <f>+L86/(SUM($C$86:$M$86))</f>
        <v>#DIV/0!</v>
      </c>
      <c r="L95" s="43" t="e">
        <f>+M86/(SUM($C$86:$M$86))</f>
        <v>#DIV/0!</v>
      </c>
      <c r="M95" s="43" t="e">
        <f>+O86/(SUM($C$86:$M$86))</f>
        <v>#DIV/0!</v>
      </c>
      <c r="O95" s="43" t="e">
        <f>+P86/(SUM($C$86:$M$86))</f>
        <v>#DIV/0!</v>
      </c>
      <c r="P95" s="118" t="e">
        <f>+R86/(SUM($C$86:$M$86))</f>
        <v>#DIV/0!</v>
      </c>
      <c r="Q95" s="13"/>
      <c r="R95" s="13"/>
      <c r="S95" s="13"/>
      <c r="T95" s="23"/>
      <c r="Z95" s="37">
        <f>+'%Analysis'!A97</f>
        <v>0</v>
      </c>
    </row>
    <row r="96" spans="1:26" x14ac:dyDescent="0.2">
      <c r="A96" s="44"/>
      <c r="Q96" s="13"/>
      <c r="R96" s="13"/>
      <c r="S96" s="13"/>
      <c r="T96" s="23"/>
      <c r="Z96" s="37">
        <f>+'%Analysis'!A98</f>
        <v>0</v>
      </c>
    </row>
    <row r="97" spans="1:26" x14ac:dyDescent="0.2">
      <c r="A97" s="44"/>
      <c r="B97" s="33"/>
      <c r="C97" s="33"/>
      <c r="D97" s="44"/>
      <c r="E97" s="44"/>
      <c r="F97" s="33"/>
      <c r="G97" s="42"/>
      <c r="H97" s="33"/>
      <c r="I97" s="33"/>
      <c r="J97" s="33"/>
      <c r="K97" s="13"/>
      <c r="L97" s="51"/>
      <c r="M97" s="13"/>
      <c r="O97" s="13"/>
      <c r="P97" s="51"/>
      <c r="Q97" s="13"/>
      <c r="R97" s="13"/>
      <c r="S97" s="13"/>
      <c r="T97" s="23"/>
      <c r="Z97" s="37">
        <f>+'%Analysis'!A99</f>
        <v>0</v>
      </c>
    </row>
    <row r="98" spans="1:26" x14ac:dyDescent="0.2">
      <c r="A98" s="44"/>
      <c r="B98" s="13" t="s">
        <v>0</v>
      </c>
      <c r="C98" s="13" t="s">
        <v>42</v>
      </c>
      <c r="D98" s="13"/>
      <c r="E98" s="24"/>
      <c r="F98" s="13" t="s">
        <v>40</v>
      </c>
      <c r="H98" s="13" t="s">
        <v>2</v>
      </c>
      <c r="I98" s="13" t="s">
        <v>3</v>
      </c>
      <c r="J98" s="13" t="s">
        <v>4</v>
      </c>
      <c r="K98" s="13" t="s">
        <v>5</v>
      </c>
      <c r="L98" s="19" t="s">
        <v>7</v>
      </c>
      <c r="M98" s="19" t="s">
        <v>6</v>
      </c>
      <c r="O98" s="13" t="s">
        <v>8</v>
      </c>
      <c r="P98" s="13" t="s">
        <v>9</v>
      </c>
      <c r="Q98" s="13" t="s">
        <v>10</v>
      </c>
      <c r="R98" s="13" t="s">
        <v>11</v>
      </c>
      <c r="S98" s="13" t="s">
        <v>12</v>
      </c>
      <c r="T98" s="23" t="s">
        <v>13</v>
      </c>
      <c r="U98" s="19" t="s">
        <v>14</v>
      </c>
      <c r="V98" s="19" t="s">
        <v>15</v>
      </c>
      <c r="W98" s="19" t="s">
        <v>16</v>
      </c>
      <c r="Z98" s="37">
        <f>+'%Analysis'!A100</f>
        <v>0</v>
      </c>
    </row>
    <row r="99" spans="1:26" x14ac:dyDescent="0.2">
      <c r="A99" s="44"/>
      <c r="B99" s="13"/>
      <c r="C99" s="13" t="s">
        <v>46</v>
      </c>
      <c r="D99" s="13"/>
      <c r="E99" s="13"/>
      <c r="F99" s="13">
        <v>0.92672503195620193</v>
      </c>
      <c r="G99" s="13"/>
      <c r="H99" s="13">
        <v>408.9</v>
      </c>
      <c r="I99" s="13">
        <v>170.5</v>
      </c>
      <c r="J99" s="13">
        <v>0</v>
      </c>
      <c r="K99" s="38">
        <v>1904.387201518633</v>
      </c>
      <c r="L99" s="13">
        <v>0</v>
      </c>
      <c r="M99" s="13">
        <v>1.4000000000000001</v>
      </c>
      <c r="O99" s="13">
        <v>0</v>
      </c>
      <c r="P99" s="13">
        <v>0</v>
      </c>
      <c r="Q99" s="13">
        <v>1124.7</v>
      </c>
      <c r="R99" s="13">
        <v>16.299999999999997</v>
      </c>
      <c r="S99" s="13">
        <v>280</v>
      </c>
      <c r="T99" s="23">
        <v>5482.7</v>
      </c>
      <c r="U99" s="19">
        <v>0</v>
      </c>
      <c r="V99" s="19">
        <v>1319.1127984813668</v>
      </c>
      <c r="W99" s="19">
        <v>280</v>
      </c>
      <c r="Z99" s="37">
        <f>+'%Analysis'!A101</f>
        <v>0</v>
      </c>
    </row>
    <row r="100" spans="1:26" x14ac:dyDescent="0.2">
      <c r="A100" s="4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23"/>
      <c r="Z100" s="37">
        <f>+'%Analysis'!A102</f>
        <v>0</v>
      </c>
    </row>
    <row r="101" spans="1:26" x14ac:dyDescent="0.2">
      <c r="A101" s="4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23"/>
      <c r="Z101" s="37">
        <f>+'%Analysis'!A103</f>
        <v>0</v>
      </c>
    </row>
    <row r="102" spans="1:26" x14ac:dyDescent="0.2">
      <c r="A102" s="4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23"/>
      <c r="Q102" s="13"/>
      <c r="R102" s="13"/>
      <c r="S102" s="23"/>
      <c r="Z102" s="37">
        <f>+'%Analysis'!A104</f>
        <v>0</v>
      </c>
    </row>
    <row r="103" spans="1:26" x14ac:dyDescent="0.2">
      <c r="A103" s="4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23"/>
      <c r="Q103" s="13"/>
      <c r="R103" s="13"/>
      <c r="S103" s="23"/>
      <c r="Z103" s="37">
        <f>+'%Analysis'!A105</f>
        <v>0</v>
      </c>
    </row>
    <row r="104" spans="1:26" x14ac:dyDescent="0.2">
      <c r="A104" s="4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1"/>
      <c r="N104" s="13"/>
      <c r="O104" s="13"/>
      <c r="P104" s="23"/>
      <c r="Q104" s="13"/>
      <c r="R104" s="13"/>
      <c r="S104" s="23"/>
      <c r="Z104" s="37">
        <f>+'%Analysis'!A106</f>
        <v>0</v>
      </c>
    </row>
    <row r="105" spans="1:26" x14ac:dyDescent="0.2">
      <c r="A105" s="4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51"/>
      <c r="N105" s="13"/>
      <c r="O105" s="13"/>
      <c r="P105" s="13"/>
      <c r="Q105" s="13"/>
      <c r="R105" s="13"/>
      <c r="S105" s="23"/>
      <c r="Z105" s="37">
        <f>+'%Analysis'!A107</f>
        <v>0</v>
      </c>
    </row>
    <row r="106" spans="1:26" x14ac:dyDescent="0.2">
      <c r="A106" s="44"/>
      <c r="B106" s="13"/>
      <c r="C106" s="5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23"/>
      <c r="Z106" s="37">
        <f>+'%Analysis'!A108</f>
        <v>0</v>
      </c>
    </row>
    <row r="107" spans="1:26" x14ac:dyDescent="0.2">
      <c r="A107" s="4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24"/>
      <c r="O107" s="13"/>
      <c r="P107" s="13"/>
      <c r="Q107" s="13"/>
      <c r="R107" s="13"/>
      <c r="S107" s="23"/>
      <c r="Z107" s="37">
        <f>+'%Analysis'!A109</f>
        <v>0</v>
      </c>
    </row>
    <row r="108" spans="1:26" x14ac:dyDescent="0.2">
      <c r="A108" s="4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23"/>
      <c r="Z108" s="37">
        <f>+'%Analysis'!A110</f>
        <v>0</v>
      </c>
    </row>
    <row r="109" spans="1:26" x14ac:dyDescent="0.2">
      <c r="A109" s="4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23"/>
      <c r="Z109" s="37">
        <f>+'%Analysis'!A111</f>
        <v>0</v>
      </c>
    </row>
    <row r="110" spans="1:26" x14ac:dyDescent="0.2">
      <c r="A110" s="139"/>
      <c r="B110" s="23"/>
      <c r="C110" s="33"/>
      <c r="D110" s="33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13"/>
      <c r="P110" s="13"/>
      <c r="Q110" s="13"/>
      <c r="R110" s="13"/>
      <c r="S110" s="23"/>
      <c r="Z110" s="37">
        <f>+'%Analysis'!A112</f>
        <v>0</v>
      </c>
    </row>
    <row r="111" spans="1:26" x14ac:dyDescent="0.2">
      <c r="A111" s="44"/>
      <c r="B111" s="33"/>
      <c r="C111" s="33"/>
      <c r="D111" s="54"/>
      <c r="E111" s="44"/>
      <c r="F111" s="33"/>
      <c r="G111" s="33"/>
      <c r="H111" s="42"/>
      <c r="I111" s="33"/>
      <c r="J111" s="33"/>
      <c r="K111" s="13"/>
      <c r="L111" s="13"/>
      <c r="M111" s="13"/>
      <c r="N111" s="13"/>
      <c r="O111" s="13"/>
      <c r="P111" s="13"/>
      <c r="Q111" s="13"/>
      <c r="R111" s="13"/>
      <c r="S111" s="23"/>
      <c r="Z111" s="37">
        <f>+'%Analysis'!A113</f>
        <v>0</v>
      </c>
    </row>
    <row r="112" spans="1:26" x14ac:dyDescent="0.2">
      <c r="A112" s="44"/>
      <c r="B112" s="13"/>
      <c r="C112" s="13"/>
      <c r="D112" s="13"/>
      <c r="E112" s="13"/>
      <c r="F112" s="13"/>
      <c r="G112" s="5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3"/>
      <c r="Z112" s="37">
        <f>+'%Analysis'!A114</f>
        <v>0</v>
      </c>
    </row>
    <row r="113" spans="1:26" x14ac:dyDescent="0.2">
      <c r="A113" s="44"/>
      <c r="B113" s="13"/>
      <c r="C113" s="13"/>
      <c r="D113" s="13"/>
      <c r="E113" s="13"/>
      <c r="F113" s="13"/>
      <c r="G113" s="5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3"/>
      <c r="Z113" s="37">
        <f>+'%Analysis'!A115</f>
        <v>0</v>
      </c>
    </row>
    <row r="114" spans="1:26" x14ac:dyDescent="0.2">
      <c r="A114" s="44"/>
      <c r="B114" s="13"/>
      <c r="C114" s="13"/>
      <c r="D114" s="13"/>
      <c r="E114" s="13"/>
      <c r="F114" s="13"/>
      <c r="G114" s="5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3"/>
      <c r="Z114" s="37">
        <f>+'%Analysis'!A116</f>
        <v>0</v>
      </c>
    </row>
    <row r="115" spans="1:26" x14ac:dyDescent="0.2">
      <c r="A115" s="4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3"/>
      <c r="Z115" s="37">
        <f>+'%Analysis'!A117</f>
        <v>0</v>
      </c>
    </row>
    <row r="116" spans="1:26" x14ac:dyDescent="0.2">
      <c r="A116" s="4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3"/>
      <c r="Z116" s="37">
        <f>+'%Analysis'!A118</f>
        <v>0</v>
      </c>
    </row>
    <row r="117" spans="1:26" x14ac:dyDescent="0.2">
      <c r="A117" s="4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23"/>
      <c r="Z117" s="37">
        <f>+'%Analysis'!A119</f>
        <v>0</v>
      </c>
    </row>
    <row r="118" spans="1:26" x14ac:dyDescent="0.2">
      <c r="A118" s="4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3"/>
      <c r="Z118" s="37">
        <f>+'%Analysis'!A120</f>
        <v>0</v>
      </c>
    </row>
    <row r="119" spans="1:26" x14ac:dyDescent="0.2">
      <c r="A119" s="4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23"/>
      <c r="Z119" s="37">
        <f>+'%Analysis'!A121</f>
        <v>0</v>
      </c>
    </row>
    <row r="120" spans="1:26" x14ac:dyDescent="0.2">
      <c r="A120" s="4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23"/>
      <c r="Z120" s="37">
        <f>+'%Analysis'!A122</f>
        <v>0</v>
      </c>
    </row>
    <row r="121" spans="1:26" x14ac:dyDescent="0.2">
      <c r="A121" s="139"/>
      <c r="B121" s="23"/>
      <c r="C121" s="33"/>
      <c r="D121" s="33"/>
      <c r="E121" s="33"/>
      <c r="F121" s="33"/>
      <c r="G121" s="33"/>
      <c r="H121" s="23"/>
      <c r="I121" s="23"/>
      <c r="J121" s="13"/>
      <c r="K121" s="13"/>
      <c r="L121" s="13"/>
      <c r="M121" s="23"/>
      <c r="N121" s="23"/>
      <c r="O121" s="13"/>
      <c r="P121" s="13"/>
      <c r="Q121" s="23"/>
      <c r="R121" s="23"/>
      <c r="S121" s="23"/>
      <c r="Z121" s="37">
        <f>+'%Analysis'!A123</f>
        <v>0</v>
      </c>
    </row>
    <row r="122" spans="1:26" x14ac:dyDescent="0.2">
      <c r="A122" s="139"/>
      <c r="B122" s="23"/>
      <c r="C122" s="50"/>
      <c r="D122" s="33"/>
      <c r="E122" s="33"/>
      <c r="F122" s="33"/>
      <c r="G122" s="3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Z122" s="37">
        <f>+'%Analysis'!A124</f>
        <v>0</v>
      </c>
    </row>
    <row r="123" spans="1:26" x14ac:dyDescent="0.2">
      <c r="A123" s="44"/>
      <c r="B123" s="33"/>
      <c r="C123" s="11"/>
      <c r="D123" s="56"/>
      <c r="E123" s="57"/>
      <c r="F123" s="11"/>
      <c r="G123" s="11"/>
      <c r="H123" s="15"/>
      <c r="I123" s="11"/>
      <c r="J123" s="11"/>
      <c r="K123" s="58"/>
      <c r="L123" s="58"/>
      <c r="M123" s="13"/>
      <c r="N123" s="13"/>
      <c r="O123" s="23"/>
      <c r="P123" s="23"/>
      <c r="Q123" s="23"/>
      <c r="R123" s="23"/>
      <c r="S123" s="23"/>
      <c r="Z123" s="37">
        <f>+'%Analysis'!A125</f>
        <v>0</v>
      </c>
    </row>
    <row r="124" spans="1:26" x14ac:dyDescent="0.2">
      <c r="A124" s="44"/>
      <c r="B124" s="13"/>
      <c r="C124" s="13"/>
      <c r="D124" s="13"/>
      <c r="E124" s="13"/>
      <c r="F124" s="13"/>
      <c r="G124" s="55"/>
      <c r="H124" s="13"/>
      <c r="I124" s="13"/>
      <c r="J124" s="13"/>
      <c r="K124" s="13"/>
      <c r="L124" s="13"/>
      <c r="M124" s="13"/>
      <c r="N124" s="13"/>
      <c r="O124" s="23"/>
      <c r="P124" s="59"/>
      <c r="Q124" s="23"/>
      <c r="R124" s="23"/>
      <c r="S124" s="23"/>
      <c r="Z124" s="37">
        <f>+'%Analysis'!A126</f>
        <v>0</v>
      </c>
    </row>
    <row r="125" spans="1:26" x14ac:dyDescent="0.2">
      <c r="A125" s="44"/>
      <c r="B125" s="13"/>
      <c r="C125" s="13"/>
      <c r="D125" s="13"/>
      <c r="E125" s="13"/>
      <c r="F125" s="13"/>
      <c r="G125" s="55"/>
      <c r="H125" s="13"/>
      <c r="I125" s="13"/>
      <c r="J125" s="13"/>
      <c r="K125" s="13"/>
      <c r="L125" s="13"/>
      <c r="M125" s="13"/>
      <c r="N125" s="13"/>
      <c r="O125" s="23"/>
      <c r="P125" s="59"/>
      <c r="Q125" s="23"/>
      <c r="R125" s="23"/>
      <c r="S125" s="23"/>
      <c r="Z125" s="37">
        <f>+'%Analysis'!A127</f>
        <v>0</v>
      </c>
    </row>
    <row r="126" spans="1:26" x14ac:dyDescent="0.2">
      <c r="A126" s="44"/>
      <c r="B126" s="13"/>
      <c r="C126" s="13"/>
      <c r="D126" s="13"/>
      <c r="E126" s="13"/>
      <c r="F126" s="13"/>
      <c r="G126" s="55"/>
      <c r="H126" s="13"/>
      <c r="I126" s="13"/>
      <c r="J126" s="13"/>
      <c r="K126" s="13"/>
      <c r="L126" s="13"/>
      <c r="M126" s="13"/>
      <c r="N126" s="13"/>
      <c r="O126" s="23"/>
      <c r="P126" s="59"/>
      <c r="Q126" s="23"/>
      <c r="R126" s="23"/>
      <c r="S126" s="23"/>
      <c r="Z126" s="37">
        <f>+'%Analysis'!A128</f>
        <v>0</v>
      </c>
    </row>
    <row r="127" spans="1:26" x14ac:dyDescent="0.2">
      <c r="A127" s="44"/>
      <c r="B127" s="13"/>
      <c r="C127" s="13"/>
      <c r="D127" s="13"/>
      <c r="E127" s="13"/>
      <c r="F127" s="13"/>
      <c r="G127" s="55"/>
      <c r="H127" s="13"/>
      <c r="I127" s="13"/>
      <c r="J127" s="13"/>
      <c r="K127" s="13"/>
      <c r="L127" s="13"/>
      <c r="M127" s="13"/>
      <c r="N127" s="13"/>
      <c r="O127" s="23"/>
      <c r="P127" s="59"/>
      <c r="Q127" s="23"/>
      <c r="R127" s="23"/>
      <c r="S127" s="23"/>
      <c r="Z127" s="37">
        <f>+'%Analysis'!A129</f>
        <v>0</v>
      </c>
    </row>
    <row r="128" spans="1:26" x14ac:dyDescent="0.2">
      <c r="A128" s="44"/>
      <c r="B128" s="13"/>
      <c r="C128" s="13"/>
      <c r="D128" s="13"/>
      <c r="E128" s="13"/>
      <c r="F128" s="13"/>
      <c r="G128" s="55"/>
      <c r="H128" s="13"/>
      <c r="I128" s="13"/>
      <c r="J128" s="13"/>
      <c r="K128" s="13"/>
      <c r="L128" s="13"/>
      <c r="M128" s="13"/>
      <c r="N128" s="13"/>
      <c r="O128" s="23"/>
      <c r="P128" s="59"/>
      <c r="Q128" s="23"/>
      <c r="R128" s="23"/>
      <c r="S128" s="23"/>
      <c r="Z128" s="37">
        <f>+'%Analysis'!A130</f>
        <v>0</v>
      </c>
    </row>
    <row r="129" spans="1:26" x14ac:dyDescent="0.2">
      <c r="A129" s="44"/>
      <c r="B129" s="13"/>
      <c r="C129" s="13"/>
      <c r="D129" s="13"/>
      <c r="E129" s="13"/>
      <c r="F129" s="13"/>
      <c r="G129" s="55"/>
      <c r="H129" s="13"/>
      <c r="I129" s="13"/>
      <c r="J129" s="13"/>
      <c r="K129" s="13"/>
      <c r="L129" s="13"/>
      <c r="M129" s="13"/>
      <c r="N129" s="13"/>
      <c r="O129" s="23"/>
      <c r="P129" s="59"/>
      <c r="Q129" s="23"/>
      <c r="R129" s="23"/>
      <c r="S129" s="23"/>
      <c r="Z129" s="37">
        <f>+'%Analysis'!A131</f>
        <v>0</v>
      </c>
    </row>
    <row r="130" spans="1:26" x14ac:dyDescent="0.2">
      <c r="A130" s="44"/>
      <c r="B130" s="13"/>
      <c r="C130" s="13"/>
      <c r="D130" s="13"/>
      <c r="E130" s="13"/>
      <c r="F130" s="13"/>
      <c r="G130" s="55"/>
      <c r="H130" s="13"/>
      <c r="I130" s="13"/>
      <c r="J130" s="13"/>
      <c r="K130" s="13"/>
      <c r="L130" s="13"/>
      <c r="M130" s="13"/>
      <c r="N130" s="13"/>
      <c r="O130" s="23"/>
      <c r="P130" s="59"/>
      <c r="Q130" s="23"/>
      <c r="R130" s="23"/>
      <c r="S130" s="23"/>
      <c r="Z130" s="37">
        <f>+'%Analysis'!A132</f>
        <v>0</v>
      </c>
    </row>
    <row r="131" spans="1:26" x14ac:dyDescent="0.2">
      <c r="A131" s="44"/>
      <c r="B131" s="13"/>
      <c r="C131" s="13"/>
      <c r="D131" s="13"/>
      <c r="E131" s="13"/>
      <c r="F131" s="13"/>
      <c r="G131" s="55"/>
      <c r="H131" s="13"/>
      <c r="I131" s="13"/>
      <c r="J131" s="13"/>
      <c r="K131" s="13"/>
      <c r="L131" s="13"/>
      <c r="M131" s="13"/>
      <c r="N131" s="13"/>
      <c r="O131" s="23"/>
      <c r="P131" s="59"/>
      <c r="Q131" s="23"/>
      <c r="R131" s="23"/>
      <c r="S131" s="23"/>
      <c r="Z131" s="37">
        <f>+'%Analysis'!A133</f>
        <v>0</v>
      </c>
    </row>
    <row r="132" spans="1:26" x14ac:dyDescent="0.2">
      <c r="A132" s="44"/>
      <c r="B132" s="13"/>
      <c r="C132" s="13"/>
      <c r="D132" s="13"/>
      <c r="E132" s="13"/>
      <c r="F132" s="13"/>
      <c r="G132" s="55"/>
      <c r="H132" s="13"/>
      <c r="I132" s="13"/>
      <c r="J132" s="13"/>
      <c r="K132" s="13"/>
      <c r="L132" s="13"/>
      <c r="M132" s="13"/>
      <c r="N132" s="13"/>
      <c r="O132" s="23"/>
      <c r="P132" s="59"/>
      <c r="Q132" s="23"/>
      <c r="R132" s="23"/>
      <c r="S132" s="23"/>
      <c r="Z132" s="37">
        <f>+'%Analysis'!A134</f>
        <v>0</v>
      </c>
    </row>
    <row r="133" spans="1:26" x14ac:dyDescent="0.2">
      <c r="A133" s="139"/>
      <c r="B133" s="23"/>
      <c r="C133" s="33"/>
      <c r="D133" s="33"/>
      <c r="E133" s="33"/>
      <c r="F133" s="60"/>
      <c r="G133" s="3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Z133" s="37">
        <f>+'%Analysis'!A135</f>
        <v>0</v>
      </c>
    </row>
    <row r="134" spans="1:26" x14ac:dyDescent="0.2">
      <c r="A134" s="53"/>
      <c r="B134" s="19"/>
      <c r="C134" s="40"/>
      <c r="D134" s="40"/>
      <c r="Z134" s="37">
        <f>+'%Analysis'!A136</f>
        <v>0</v>
      </c>
    </row>
    <row r="135" spans="1:26" x14ac:dyDescent="0.2">
      <c r="A135" s="53"/>
      <c r="B135" s="25" t="s">
        <v>0</v>
      </c>
      <c r="C135" s="26" t="s">
        <v>42</v>
      </c>
      <c r="D135" s="26"/>
      <c r="E135" s="26"/>
      <c r="F135" s="26" t="s">
        <v>40</v>
      </c>
      <c r="G135" s="26"/>
      <c r="H135" s="25" t="s">
        <v>2</v>
      </c>
      <c r="I135" s="25" t="s">
        <v>3</v>
      </c>
      <c r="J135" s="25" t="s">
        <v>4</v>
      </c>
      <c r="K135" s="25" t="s">
        <v>5</v>
      </c>
      <c r="L135" s="25" t="s">
        <v>7</v>
      </c>
      <c r="M135" s="25" t="s">
        <v>6</v>
      </c>
      <c r="N135" s="25" t="s">
        <v>8</v>
      </c>
      <c r="O135" s="25" t="s">
        <v>9</v>
      </c>
      <c r="P135" s="25" t="s">
        <v>10</v>
      </c>
      <c r="Q135" s="25" t="s">
        <v>11</v>
      </c>
      <c r="R135" s="25" t="s">
        <v>12</v>
      </c>
      <c r="S135" s="25" t="s">
        <v>13</v>
      </c>
      <c r="T135" s="25" t="s">
        <v>14</v>
      </c>
      <c r="U135" s="25" t="s">
        <v>15</v>
      </c>
      <c r="V135" s="25" t="s">
        <v>16</v>
      </c>
      <c r="Z135" s="37">
        <f>+'%Analysis'!A137</f>
        <v>0</v>
      </c>
    </row>
    <row r="136" spans="1:26" x14ac:dyDescent="0.2">
      <c r="A136" s="53"/>
      <c r="B136" s="19">
        <f t="shared" ref="B136:C148" si="20">B7</f>
        <v>0</v>
      </c>
      <c r="C136" s="40">
        <f t="shared" si="20"/>
        <v>0</v>
      </c>
      <c r="D136" s="40"/>
      <c r="H136" s="19" t="str">
        <f>IF(ISERROR(+$C136*+VLOOKUP($B136,'%Analysis'!$A$4:$S$204,4,0)),"",+$C136*+VLOOKUP($B136,'%Analysis'!$A$4:$S$204,4,0))</f>
        <v/>
      </c>
      <c r="I136" s="19" t="str">
        <f>IF(ISERROR(+$C136*+VLOOKUP($B136,'%Analysis'!$A$4:$S$204,5,0)),"",+$C136*+VLOOKUP($B136,'%Analysis'!$A$4:$S$204,5,0))</f>
        <v/>
      </c>
      <c r="J136" s="19" t="str">
        <f>IF(ISERROR(+$C136*+VLOOKUP($B136,'%Analysis'!$A$4:$S$204,6,0)),"",+$C136*+VLOOKUP($B136,'%Analysis'!$A$4:$S$204,6,0))</f>
        <v/>
      </c>
      <c r="K136" s="19" t="str">
        <f>IF(ISERROR(+$C136*+VLOOKUP($B136,'%Analysis'!$A$4:$S$204,7,0)),"",+$C136*+VLOOKUP($B136,'%Analysis'!$A$4:$S$204,7,0))</f>
        <v/>
      </c>
      <c r="L136" s="19" t="str">
        <f>IF(ISERROR(+$C136*+VLOOKUP($B136,'%Analysis'!$A$4:$S$204,8,0)),"",+$C136*+VLOOKUP($B136,'%Analysis'!$A$4:$S$204,8,0))</f>
        <v/>
      </c>
      <c r="M136" s="19" t="str">
        <f>IF(ISERROR(+$C136*+VLOOKUP($B136,'%Analysis'!$A$4:$S$204,9,0)),"",+$C136*+VLOOKUP($B136,'%Analysis'!$A$4:$S$204,9,0))</f>
        <v/>
      </c>
      <c r="N136" s="19" t="str">
        <f>IF(ISERROR(+$C136*+VLOOKUP($B136,'%Analysis'!$A$4:$S$204,10,0)),"",+$C136*+VLOOKUP($B136,'%Analysis'!$A$4:$S$204,10,0))</f>
        <v/>
      </c>
      <c r="O136" s="19" t="str">
        <f>IF(ISERROR(+$C136*+VLOOKUP($B136,'%Analysis'!$A$4:$S$204,11,0)),"",+$C136*+VLOOKUP($B136,'%Analysis'!$A$4:$S$204,11,0))</f>
        <v/>
      </c>
      <c r="P136" s="19" t="str">
        <f>IF(ISERROR(+$C136*+VLOOKUP($B136,'%Analysis'!$A$4:$S$204,12,0)),"",+$C136*+VLOOKUP($B136,'%Analysis'!$A$4:$S$204,12,0))</f>
        <v/>
      </c>
      <c r="Q136" s="19" t="str">
        <f>IF(ISERROR(+$C136*+VLOOKUP($B136,'%Analysis'!$A$4:$S$204,13,0)),"",+$C136*+VLOOKUP($B136,'%Analysis'!$A$4:$S$204,13,0))</f>
        <v/>
      </c>
      <c r="R136" s="19" t="str">
        <f>IF(ISERROR(+$C136*+VLOOKUP($B136,'%Analysis'!$A$4:$S$204,14,0)),"",+$C136*+VLOOKUP($B136,'%Analysis'!$A$4:$S$204,14,0))</f>
        <v/>
      </c>
      <c r="S136" s="19" t="str">
        <f>IF(ISERROR(+$C136*+VLOOKUP($B136,'%Analysis'!$A$4:$S$204,15,0)),"",+$C136*+VLOOKUP($B136,'%Analysis'!$A$4:$S$204,15,0))</f>
        <v/>
      </c>
      <c r="T136" s="19" t="str">
        <f>IF(ISERROR(+$C136*+VLOOKUP($B136,'%Analysis'!$A$4:$S$204,16,0)),"",+$C136*+VLOOKUP($B136,'%Analysis'!$A$4:$S$204,16,0))</f>
        <v/>
      </c>
      <c r="U136" s="19" t="str">
        <f>IF(ISERROR(+$C136*+VLOOKUP($B136,'%Analysis'!$A$4:$S$204,17,0)),"",+$C136*+VLOOKUP($B136,'%Analysis'!$A$4:$S$204,17,0))</f>
        <v/>
      </c>
      <c r="V136" s="19" t="str">
        <f>IF(ISERROR(+$C136*+VLOOKUP($B136,'%Analysis'!$A$4:$S$204,18,0)),"",+$C136*+VLOOKUP($B136,'%Analysis'!$A$4:$S$204,18,0))</f>
        <v/>
      </c>
      <c r="Z136" s="37">
        <f>+'%Analysis'!A138</f>
        <v>0</v>
      </c>
    </row>
    <row r="137" spans="1:26" x14ac:dyDescent="0.2">
      <c r="A137" s="53"/>
      <c r="B137" s="19">
        <f t="shared" si="20"/>
        <v>0</v>
      </c>
      <c r="C137" s="40">
        <f t="shared" si="20"/>
        <v>0</v>
      </c>
      <c r="D137" s="40"/>
      <c r="H137" s="19" t="str">
        <f>IF(ISERROR(+$C137*+VLOOKUP($B137,'%Analysis'!$A$4:$S$204,4,0)),"",+$C137*+VLOOKUP($B137,'%Analysis'!$A$4:$S$204,4,0))</f>
        <v/>
      </c>
      <c r="I137" s="19" t="str">
        <f>IF(ISERROR(+$C137*+VLOOKUP($B137,'%Analysis'!$A$4:$S$204,5,0)),"",+$C137*+VLOOKUP($B137,'%Analysis'!$A$4:$S$204,5,0))</f>
        <v/>
      </c>
      <c r="J137" s="19" t="str">
        <f>IF(ISERROR(+$C137*+VLOOKUP($B137,'%Analysis'!$A$4:$S$204,6,0)),"",+$C137*+VLOOKUP($B137,'%Analysis'!$A$4:$S$204,6,0))</f>
        <v/>
      </c>
      <c r="K137" s="19" t="str">
        <f>IF(ISERROR(+$C137*+VLOOKUP($B137,'%Analysis'!$A$4:$S$204,7,0)),"",+$C137*+VLOOKUP($B137,'%Analysis'!$A$4:$S$204,7,0))</f>
        <v/>
      </c>
      <c r="L137" s="19" t="str">
        <f>IF(ISERROR(+$C137*+VLOOKUP($B137,'%Analysis'!$A$4:$S$204,8,0)),"",+$C137*+VLOOKUP($B137,'%Analysis'!$A$4:$S$204,8,0))</f>
        <v/>
      </c>
      <c r="M137" s="19" t="str">
        <f>IF(ISERROR(+$C137*+VLOOKUP($B137,'%Analysis'!$A$4:$S$204,9,0)),"",+$C137*+VLOOKUP($B137,'%Analysis'!$A$4:$S$204,9,0))</f>
        <v/>
      </c>
      <c r="N137" s="19" t="str">
        <f>IF(ISERROR(+$C137*+VLOOKUP($B137,'%Analysis'!$A$4:$S$204,10,0)),"",+$C137*+VLOOKUP($B137,'%Analysis'!$A$4:$S$204,10,0))</f>
        <v/>
      </c>
      <c r="O137" s="19" t="str">
        <f>IF(ISERROR(+$C137*+VLOOKUP($B137,'%Analysis'!$A$4:$S$204,11,0)),"",+$C137*+VLOOKUP($B137,'%Analysis'!$A$4:$S$204,11,0))</f>
        <v/>
      </c>
      <c r="P137" s="19" t="str">
        <f>IF(ISERROR(+$C137*+VLOOKUP($B137,'%Analysis'!$A$4:$S$204,12,0)),"",+$C137*+VLOOKUP($B137,'%Analysis'!$A$4:$S$204,12,0))</f>
        <v/>
      </c>
      <c r="Q137" s="19" t="str">
        <f>IF(ISERROR(+$C137*+VLOOKUP($B137,'%Analysis'!$A$4:$S$204,13,0)),"",+$C137*+VLOOKUP($B137,'%Analysis'!$A$4:$S$204,13,0))</f>
        <v/>
      </c>
      <c r="R137" s="19" t="str">
        <f>IF(ISERROR(+$C137*+VLOOKUP($B137,'%Analysis'!$A$4:$S$204,14,0)),"",+$C137*+VLOOKUP($B137,'%Analysis'!$A$4:$S$204,14,0))</f>
        <v/>
      </c>
      <c r="S137" s="19" t="str">
        <f>IF(ISERROR(+$C137*+VLOOKUP($B137,'%Analysis'!$A$4:$S$204,15,0)),"",+$C137*+VLOOKUP($B137,'%Analysis'!$A$4:$S$204,15,0))</f>
        <v/>
      </c>
      <c r="T137" s="19" t="str">
        <f>IF(ISERROR(+$C137*+VLOOKUP($B137,'%Analysis'!$A$4:$S$204,16,0)),"",+$C137*+VLOOKUP($B137,'%Analysis'!$A$4:$S$204,16,0))</f>
        <v/>
      </c>
      <c r="U137" s="19" t="str">
        <f>IF(ISERROR(+$C137*+VLOOKUP($B137,'%Analysis'!$A$4:$S$204,17,0)),"",+$C137*+VLOOKUP($B137,'%Analysis'!$A$4:$S$204,17,0))</f>
        <v/>
      </c>
      <c r="V137" s="19" t="str">
        <f>IF(ISERROR(+$C137*+VLOOKUP($B137,'%Analysis'!$A$4:$S$204,18,0)),"",+$C137*+VLOOKUP($B137,'%Analysis'!$A$4:$S$204,18,0))</f>
        <v/>
      </c>
      <c r="Z137" s="37">
        <f>+'%Analysis'!A139</f>
        <v>0</v>
      </c>
    </row>
    <row r="138" spans="1:26" x14ac:dyDescent="0.2">
      <c r="A138" s="53"/>
      <c r="B138" s="19">
        <f t="shared" si="20"/>
        <v>0</v>
      </c>
      <c r="C138" s="40">
        <f t="shared" si="20"/>
        <v>0</v>
      </c>
      <c r="D138" s="40"/>
      <c r="H138" s="19" t="str">
        <f>IF(ISERROR(+$C138*+VLOOKUP($B138,'%Analysis'!$A$4:$S$204,4,0)),"",+$C138*+VLOOKUP($B138,'%Analysis'!$A$4:$S$204,4,0))</f>
        <v/>
      </c>
      <c r="I138" s="19" t="str">
        <f>IF(ISERROR(+$C138*+VLOOKUP($B138,'%Analysis'!$A$4:$S$204,5,0)),"",+$C138*+VLOOKUP($B138,'%Analysis'!$A$4:$S$204,5,0))</f>
        <v/>
      </c>
      <c r="J138" s="19" t="str">
        <f>IF(ISERROR(+$C138*+VLOOKUP($B138,'%Analysis'!$A$4:$S$204,6,0)),"",+$C138*+VLOOKUP($B138,'%Analysis'!$A$4:$S$204,6,0))</f>
        <v/>
      </c>
      <c r="K138" s="19" t="str">
        <f>IF(ISERROR(+$C138*+VLOOKUP($B138,'%Analysis'!$A$4:$S$204,7,0)),"",+$C138*+VLOOKUP($B138,'%Analysis'!$A$4:$S$204,7,0))</f>
        <v/>
      </c>
      <c r="L138" s="19" t="str">
        <f>IF(ISERROR(+$C138*+VLOOKUP($B138,'%Analysis'!$A$4:$S$204,8,0)),"",+$C138*+VLOOKUP($B138,'%Analysis'!$A$4:$S$204,8,0))</f>
        <v/>
      </c>
      <c r="M138" s="19" t="str">
        <f>IF(ISERROR(+$C138*+VLOOKUP($B138,'%Analysis'!$A$4:$S$204,9,0)),"",+$C138*+VLOOKUP($B138,'%Analysis'!$A$4:$S$204,9,0))</f>
        <v/>
      </c>
      <c r="N138" s="19" t="str">
        <f>IF(ISERROR(+$C138*+VLOOKUP($B138,'%Analysis'!$A$4:$S$204,10,0)),"",+$C138*+VLOOKUP($B138,'%Analysis'!$A$4:$S$204,10,0))</f>
        <v/>
      </c>
      <c r="O138" s="19" t="str">
        <f>IF(ISERROR(+$C138*+VLOOKUP($B138,'%Analysis'!$A$4:$S$204,11,0)),"",+$C138*+VLOOKUP($B138,'%Analysis'!$A$4:$S$204,11,0))</f>
        <v/>
      </c>
      <c r="P138" s="19" t="str">
        <f>IF(ISERROR(+$C138*+VLOOKUP($B138,'%Analysis'!$A$4:$S$204,12,0)),"",+$C138*+VLOOKUP($B138,'%Analysis'!$A$4:$S$204,12,0))</f>
        <v/>
      </c>
      <c r="Q138" s="19" t="str">
        <f>IF(ISERROR(+$C138*+VLOOKUP($B138,'%Analysis'!$A$4:$S$204,13,0)),"",+$C138*+VLOOKUP($B138,'%Analysis'!$A$4:$S$204,13,0))</f>
        <v/>
      </c>
      <c r="R138" s="19" t="str">
        <f>IF(ISERROR(+$C138*+VLOOKUP($B138,'%Analysis'!$A$4:$S$204,14,0)),"",+$C138*+VLOOKUP($B138,'%Analysis'!$A$4:$S$204,14,0))</f>
        <v/>
      </c>
      <c r="S138" s="19" t="str">
        <f>IF(ISERROR(+$C138*+VLOOKUP($B138,'%Analysis'!$A$4:$S$204,15,0)),"",+$C138*+VLOOKUP($B138,'%Analysis'!$A$4:$S$204,15,0))</f>
        <v/>
      </c>
      <c r="T138" s="19" t="str">
        <f>IF(ISERROR(+$C138*+VLOOKUP($B138,'%Analysis'!$A$4:$S$204,16,0)),"",+$C138*+VLOOKUP($B138,'%Analysis'!$A$4:$S$204,16,0))</f>
        <v/>
      </c>
      <c r="U138" s="19" t="str">
        <f>IF(ISERROR(+$C138*+VLOOKUP($B138,'%Analysis'!$A$4:$S$204,17,0)),"",+$C138*+VLOOKUP($B138,'%Analysis'!$A$4:$S$204,17,0))</f>
        <v/>
      </c>
      <c r="V138" s="19" t="str">
        <f>IF(ISERROR(+$C138*+VLOOKUP($B138,'%Analysis'!$A$4:$S$204,18,0)),"",+$C138*+VLOOKUP($B138,'%Analysis'!$A$4:$S$204,18,0))</f>
        <v/>
      </c>
      <c r="Z138" s="37">
        <f>+'%Analysis'!A140</f>
        <v>0</v>
      </c>
    </row>
    <row r="139" spans="1:26" x14ac:dyDescent="0.2">
      <c r="A139" s="53"/>
      <c r="B139" s="19">
        <f t="shared" si="20"/>
        <v>0</v>
      </c>
      <c r="C139" s="40">
        <f t="shared" si="20"/>
        <v>0</v>
      </c>
      <c r="D139" s="40"/>
      <c r="H139" s="19" t="str">
        <f>IF(ISERROR(+$C139*+VLOOKUP($B139,'%Analysis'!$A$4:$S$204,4,0)),"",+$C139*+VLOOKUP($B139,'%Analysis'!$A$4:$S$204,4,0))</f>
        <v/>
      </c>
      <c r="I139" s="19" t="str">
        <f>IF(ISERROR(+$C139*+VLOOKUP($B139,'%Analysis'!$A$4:$S$204,5,0)),"",+$C139*+VLOOKUP($B139,'%Analysis'!$A$4:$S$204,5,0))</f>
        <v/>
      </c>
      <c r="J139" s="19" t="str">
        <f>IF(ISERROR(+$C139*+VLOOKUP($B139,'%Analysis'!$A$4:$S$204,6,0)),"",+$C139*+VLOOKUP($B139,'%Analysis'!$A$4:$S$204,6,0))</f>
        <v/>
      </c>
      <c r="K139" s="19" t="str">
        <f>IF(ISERROR(+$C139*+VLOOKUP($B139,'%Analysis'!$A$4:$S$204,7,0)),"",+$C139*+VLOOKUP($B139,'%Analysis'!$A$4:$S$204,7,0))</f>
        <v/>
      </c>
      <c r="L139" s="19" t="str">
        <f>IF(ISERROR(+$C139*+VLOOKUP($B139,'%Analysis'!$A$4:$S$204,8,0)),"",+$C139*+VLOOKUP($B139,'%Analysis'!$A$4:$S$204,8,0))</f>
        <v/>
      </c>
      <c r="M139" s="19" t="str">
        <f>IF(ISERROR(+$C139*+VLOOKUP($B139,'%Analysis'!$A$4:$S$204,9,0)),"",+$C139*+VLOOKUP($B139,'%Analysis'!$A$4:$S$204,9,0))</f>
        <v/>
      </c>
      <c r="N139" s="19" t="str">
        <f>IF(ISERROR(+$C139*+VLOOKUP($B139,'%Analysis'!$A$4:$S$204,10,0)),"",+$C139*+VLOOKUP($B139,'%Analysis'!$A$4:$S$204,10,0))</f>
        <v/>
      </c>
      <c r="O139" s="19" t="str">
        <f>IF(ISERROR(+$C139*+VLOOKUP($B139,'%Analysis'!$A$4:$S$204,11,0)),"",+$C139*+VLOOKUP($B139,'%Analysis'!$A$4:$S$204,11,0))</f>
        <v/>
      </c>
      <c r="P139" s="19" t="str">
        <f>IF(ISERROR(+$C139*+VLOOKUP($B139,'%Analysis'!$A$4:$S$204,12,0)),"",+$C139*+VLOOKUP($B139,'%Analysis'!$A$4:$S$204,12,0))</f>
        <v/>
      </c>
      <c r="Q139" s="19" t="str">
        <f>IF(ISERROR(+$C139*+VLOOKUP($B139,'%Analysis'!$A$4:$S$204,13,0)),"",+$C139*+VLOOKUP($B139,'%Analysis'!$A$4:$S$204,13,0))</f>
        <v/>
      </c>
      <c r="R139" s="19" t="str">
        <f>IF(ISERROR(+$C139*+VLOOKUP($B139,'%Analysis'!$A$4:$S$204,14,0)),"",+$C139*+VLOOKUP($B139,'%Analysis'!$A$4:$S$204,14,0))</f>
        <v/>
      </c>
      <c r="S139" s="19" t="str">
        <f>IF(ISERROR(+$C139*+VLOOKUP($B139,'%Analysis'!$A$4:$S$204,15,0)),"",+$C139*+VLOOKUP($B139,'%Analysis'!$A$4:$S$204,15,0))</f>
        <v/>
      </c>
      <c r="T139" s="19" t="str">
        <f>IF(ISERROR(+$C139*+VLOOKUP($B139,'%Analysis'!$A$4:$S$204,16,0)),"",+$C139*+VLOOKUP($B139,'%Analysis'!$A$4:$S$204,16,0))</f>
        <v/>
      </c>
      <c r="U139" s="19" t="str">
        <f>IF(ISERROR(+$C139*+VLOOKUP($B139,'%Analysis'!$A$4:$S$204,17,0)),"",+$C139*+VLOOKUP($B139,'%Analysis'!$A$4:$S$204,17,0))</f>
        <v/>
      </c>
      <c r="V139" s="19" t="str">
        <f>IF(ISERROR(+$C139*+VLOOKUP($B139,'%Analysis'!$A$4:$S$204,18,0)),"",+$C139*+VLOOKUP($B139,'%Analysis'!$A$4:$S$204,18,0))</f>
        <v/>
      </c>
      <c r="Z139" s="37">
        <f>+'%Analysis'!A141</f>
        <v>0</v>
      </c>
    </row>
    <row r="140" spans="1:26" x14ac:dyDescent="0.2">
      <c r="A140" s="53"/>
      <c r="B140" s="19">
        <f t="shared" si="20"/>
        <v>0</v>
      </c>
      <c r="C140" s="40">
        <f t="shared" si="20"/>
        <v>0</v>
      </c>
      <c r="D140" s="40"/>
      <c r="H140" s="19" t="str">
        <f>IF(ISERROR(+$C140*+VLOOKUP($B140,'%Analysis'!$A$4:$S$204,4,0)),"",+$C140*+VLOOKUP($B140,'%Analysis'!$A$4:$S$204,4,0))</f>
        <v/>
      </c>
      <c r="I140" s="19" t="str">
        <f>IF(ISERROR(+$C140*+VLOOKUP($B140,'%Analysis'!$A$4:$S$204,5,0)),"",+$C140*+VLOOKUP($B140,'%Analysis'!$A$4:$S$204,5,0))</f>
        <v/>
      </c>
      <c r="J140" s="19" t="str">
        <f>IF(ISERROR(+$C140*+VLOOKUP($B140,'%Analysis'!$A$4:$S$204,6,0)),"",+$C140*+VLOOKUP($B140,'%Analysis'!$A$4:$S$204,6,0))</f>
        <v/>
      </c>
      <c r="K140" s="19" t="str">
        <f>IF(ISERROR(+$C140*+VLOOKUP($B140,'%Analysis'!$A$4:$S$204,7,0)),"",+$C140*+VLOOKUP($B140,'%Analysis'!$A$4:$S$204,7,0))</f>
        <v/>
      </c>
      <c r="L140" s="19" t="str">
        <f>IF(ISERROR(+$C140*+VLOOKUP($B140,'%Analysis'!$A$4:$S$204,8,0)),"",+$C140*+VLOOKUP($B140,'%Analysis'!$A$4:$S$204,8,0))</f>
        <v/>
      </c>
      <c r="M140" s="19" t="str">
        <f>IF(ISERROR(+$C140*+VLOOKUP($B140,'%Analysis'!$A$4:$S$204,9,0)),"",+$C140*+VLOOKUP($B140,'%Analysis'!$A$4:$S$204,9,0))</f>
        <v/>
      </c>
      <c r="N140" s="19" t="str">
        <f>IF(ISERROR(+$C140*+VLOOKUP($B140,'%Analysis'!$A$4:$S$204,10,0)),"",+$C140*+VLOOKUP($B140,'%Analysis'!$A$4:$S$204,10,0))</f>
        <v/>
      </c>
      <c r="O140" s="19" t="str">
        <f>IF(ISERROR(+$C140*+VLOOKUP($B140,'%Analysis'!$A$4:$S$204,11,0)),"",+$C140*+VLOOKUP($B140,'%Analysis'!$A$4:$S$204,11,0))</f>
        <v/>
      </c>
      <c r="P140" s="19" t="str">
        <f>IF(ISERROR(+$C140*+VLOOKUP($B140,'%Analysis'!$A$4:$S$204,12,0)),"",+$C140*+VLOOKUP($B140,'%Analysis'!$A$4:$S$204,12,0))</f>
        <v/>
      </c>
      <c r="Q140" s="19" t="str">
        <f>IF(ISERROR(+$C140*+VLOOKUP($B140,'%Analysis'!$A$4:$S$204,13,0)),"",+$C140*+VLOOKUP($B140,'%Analysis'!$A$4:$S$204,13,0))</f>
        <v/>
      </c>
      <c r="R140" s="19" t="str">
        <f>IF(ISERROR(+$C140*+VLOOKUP($B140,'%Analysis'!$A$4:$S$204,14,0)),"",+$C140*+VLOOKUP($B140,'%Analysis'!$A$4:$S$204,14,0))</f>
        <v/>
      </c>
      <c r="S140" s="19" t="str">
        <f>IF(ISERROR(+$C140*+VLOOKUP($B140,'%Analysis'!$A$4:$S$204,15,0)),"",+$C140*+VLOOKUP($B140,'%Analysis'!$A$4:$S$204,15,0))</f>
        <v/>
      </c>
      <c r="T140" s="19" t="str">
        <f>IF(ISERROR(+$C140*+VLOOKUP($B140,'%Analysis'!$A$4:$S$204,16,0)),"",+$C140*+VLOOKUP($B140,'%Analysis'!$A$4:$S$204,16,0))</f>
        <v/>
      </c>
      <c r="U140" s="19" t="str">
        <f>IF(ISERROR(+$C140*+VLOOKUP($B140,'%Analysis'!$A$4:$S$204,17,0)),"",+$C140*+VLOOKUP($B140,'%Analysis'!$A$4:$S$204,17,0))</f>
        <v/>
      </c>
      <c r="V140" s="19" t="str">
        <f>IF(ISERROR(+$C140*+VLOOKUP($B140,'%Analysis'!$A$4:$S$204,18,0)),"",+$C140*+VLOOKUP($B140,'%Analysis'!$A$4:$S$204,18,0))</f>
        <v/>
      </c>
      <c r="Z140" s="37">
        <f>+'%Analysis'!A142</f>
        <v>0</v>
      </c>
    </row>
    <row r="141" spans="1:26" x14ac:dyDescent="0.2">
      <c r="A141" s="53"/>
      <c r="B141" s="19">
        <f t="shared" si="20"/>
        <v>0</v>
      </c>
      <c r="C141" s="40">
        <f t="shared" si="20"/>
        <v>0</v>
      </c>
      <c r="D141" s="40"/>
      <c r="H141" s="19" t="str">
        <f>IF(ISERROR(+$C141*+VLOOKUP($B141,'%Analysis'!$A$4:$S$204,4,0)),"",+$C141*+VLOOKUP($B141,'%Analysis'!$A$4:$S$204,4,0))</f>
        <v/>
      </c>
      <c r="I141" s="19" t="str">
        <f>IF(ISERROR(+$C141*+VLOOKUP($B141,'%Analysis'!$A$4:$S$204,5,0)),"",+$C141*+VLOOKUP($B141,'%Analysis'!$A$4:$S$204,5,0))</f>
        <v/>
      </c>
      <c r="J141" s="19" t="str">
        <f>IF(ISERROR(+$C141*+VLOOKUP($B141,'%Analysis'!$A$4:$S$204,6,0)),"",+$C141*+VLOOKUP($B141,'%Analysis'!$A$4:$S$204,6,0))</f>
        <v/>
      </c>
      <c r="K141" s="19" t="str">
        <f>IF(ISERROR(+$C141*+VLOOKUP($B141,'%Analysis'!$A$4:$S$204,7,0)),"",+$C141*+VLOOKUP($B141,'%Analysis'!$A$4:$S$204,7,0))</f>
        <v/>
      </c>
      <c r="L141" s="19" t="str">
        <f>IF(ISERROR(+$C141*+VLOOKUP($B141,'%Analysis'!$A$4:$S$204,8,0)),"",+$C141*+VLOOKUP($B141,'%Analysis'!$A$4:$S$204,8,0))</f>
        <v/>
      </c>
      <c r="M141" s="19" t="str">
        <f>IF(ISERROR(+$C141*+VLOOKUP($B141,'%Analysis'!$A$4:$S$204,9,0)),"",+$C141*+VLOOKUP($B141,'%Analysis'!$A$4:$S$204,9,0))</f>
        <v/>
      </c>
      <c r="N141" s="19" t="str">
        <f>IF(ISERROR(+$C141*+VLOOKUP($B141,'%Analysis'!$A$4:$S$204,10,0)),"",+$C141*+VLOOKUP($B141,'%Analysis'!$A$4:$S$204,10,0))</f>
        <v/>
      </c>
      <c r="O141" s="19" t="str">
        <f>IF(ISERROR(+$C141*+VLOOKUP($B141,'%Analysis'!$A$4:$S$204,11,0)),"",+$C141*+VLOOKUP($B141,'%Analysis'!$A$4:$S$204,11,0))</f>
        <v/>
      </c>
      <c r="P141" s="19" t="str">
        <f>IF(ISERROR(+$C141*+VLOOKUP($B141,'%Analysis'!$A$4:$S$204,12,0)),"",+$C141*+VLOOKUP($B141,'%Analysis'!$A$4:$S$204,12,0))</f>
        <v/>
      </c>
      <c r="Q141" s="19" t="str">
        <f>IF(ISERROR(+$C141*+VLOOKUP($B141,'%Analysis'!$A$4:$S$204,13,0)),"",+$C141*+VLOOKUP($B141,'%Analysis'!$A$4:$S$204,13,0))</f>
        <v/>
      </c>
      <c r="R141" s="19" t="str">
        <f>IF(ISERROR(+$C141*+VLOOKUP($B141,'%Analysis'!$A$4:$S$204,14,0)),"",+$C141*+VLOOKUP($B141,'%Analysis'!$A$4:$S$204,14,0))</f>
        <v/>
      </c>
      <c r="S141" s="19" t="str">
        <f>IF(ISERROR(+$C141*+VLOOKUP($B141,'%Analysis'!$A$4:$S$204,15,0)),"",+$C141*+VLOOKUP($B141,'%Analysis'!$A$4:$S$204,15,0))</f>
        <v/>
      </c>
      <c r="T141" s="19" t="str">
        <f>IF(ISERROR(+$C141*+VLOOKUP($B141,'%Analysis'!$A$4:$S$204,16,0)),"",+$C141*+VLOOKUP($B141,'%Analysis'!$A$4:$S$204,16,0))</f>
        <v/>
      </c>
      <c r="U141" s="19" t="str">
        <f>IF(ISERROR(+$C141*+VLOOKUP($B141,'%Analysis'!$A$4:$S$204,17,0)),"",+$C141*+VLOOKUP($B141,'%Analysis'!$A$4:$S$204,17,0))</f>
        <v/>
      </c>
      <c r="V141" s="19" t="str">
        <f>IF(ISERROR(+$C141*+VLOOKUP($B141,'%Analysis'!$A$4:$S$204,18,0)),"",+$C141*+VLOOKUP($B141,'%Analysis'!$A$4:$S$204,18,0))</f>
        <v/>
      </c>
      <c r="Z141" s="37">
        <f>+'%Analysis'!A143</f>
        <v>0</v>
      </c>
    </row>
    <row r="142" spans="1:26" x14ac:dyDescent="0.2">
      <c r="A142" s="53"/>
      <c r="B142" s="19">
        <f t="shared" si="20"/>
        <v>0</v>
      </c>
      <c r="C142" s="40">
        <f t="shared" si="20"/>
        <v>0</v>
      </c>
      <c r="D142" s="40"/>
      <c r="H142" s="19" t="str">
        <f>IF(ISERROR(+$C142*+VLOOKUP($B142,'%Analysis'!$A$4:$S$204,4,0)),"",+$C142*+VLOOKUP($B142,'%Analysis'!$A$4:$S$204,4,0))</f>
        <v/>
      </c>
      <c r="I142" s="19" t="str">
        <f>IF(ISERROR(+$C142*+VLOOKUP($B142,'%Analysis'!$A$4:$S$204,5,0)),"",+$C142*+VLOOKUP($B142,'%Analysis'!$A$4:$S$204,5,0))</f>
        <v/>
      </c>
      <c r="J142" s="19" t="str">
        <f>IF(ISERROR(+$C142*+VLOOKUP($B142,'%Analysis'!$A$4:$S$204,6,0)),"",+$C142*+VLOOKUP($B142,'%Analysis'!$A$4:$S$204,6,0))</f>
        <v/>
      </c>
      <c r="K142" s="19" t="str">
        <f>IF(ISERROR(+$C142*+VLOOKUP($B142,'%Analysis'!$A$4:$S$204,7,0)),"",+$C142*+VLOOKUP($B142,'%Analysis'!$A$4:$S$204,7,0))</f>
        <v/>
      </c>
      <c r="L142" s="19" t="str">
        <f>IF(ISERROR(+$C142*+VLOOKUP($B142,'%Analysis'!$A$4:$S$204,8,0)),"",+$C142*+VLOOKUP($B142,'%Analysis'!$A$4:$S$204,8,0))</f>
        <v/>
      </c>
      <c r="M142" s="19" t="str">
        <f>IF(ISERROR(+$C142*+VLOOKUP($B142,'%Analysis'!$A$4:$S$204,9,0)),"",+$C142*+VLOOKUP($B142,'%Analysis'!$A$4:$S$204,9,0))</f>
        <v/>
      </c>
      <c r="N142" s="19" t="str">
        <f>IF(ISERROR(+$C142*+VLOOKUP($B142,'%Analysis'!$A$4:$S$204,10,0)),"",+$C142*+VLOOKUP($B142,'%Analysis'!$A$4:$S$204,10,0))</f>
        <v/>
      </c>
      <c r="O142" s="19" t="str">
        <f>IF(ISERROR(+$C142*+VLOOKUP($B142,'%Analysis'!$A$4:$S$204,11,0)),"",+$C142*+VLOOKUP($B142,'%Analysis'!$A$4:$S$204,11,0))</f>
        <v/>
      </c>
      <c r="P142" s="19" t="str">
        <f>IF(ISERROR(+$C142*+VLOOKUP($B142,'%Analysis'!$A$4:$S$204,12,0)),"",+$C142*+VLOOKUP($B142,'%Analysis'!$A$4:$S$204,12,0))</f>
        <v/>
      </c>
      <c r="Q142" s="19" t="str">
        <f>IF(ISERROR(+$C142*+VLOOKUP($B142,'%Analysis'!$A$4:$S$204,13,0)),"",+$C142*+VLOOKUP($B142,'%Analysis'!$A$4:$S$204,13,0))</f>
        <v/>
      </c>
      <c r="R142" s="19" t="str">
        <f>IF(ISERROR(+$C142*+VLOOKUP($B142,'%Analysis'!$A$4:$S$204,14,0)),"",+$C142*+VLOOKUP($B142,'%Analysis'!$A$4:$S$204,14,0))</f>
        <v/>
      </c>
      <c r="S142" s="19" t="str">
        <f>IF(ISERROR(+$C142*+VLOOKUP($B142,'%Analysis'!$A$4:$S$204,15,0)),"",+$C142*+VLOOKUP($B142,'%Analysis'!$A$4:$S$204,15,0))</f>
        <v/>
      </c>
      <c r="T142" s="19" t="str">
        <f>IF(ISERROR(+$C142*+VLOOKUP($B142,'%Analysis'!$A$4:$S$204,16,0)),"",+$C142*+VLOOKUP($B142,'%Analysis'!$A$4:$S$204,16,0))</f>
        <v/>
      </c>
      <c r="U142" s="19" t="str">
        <f>IF(ISERROR(+$C142*+VLOOKUP($B142,'%Analysis'!$A$4:$S$204,17,0)),"",+$C142*+VLOOKUP($B142,'%Analysis'!$A$4:$S$204,17,0))</f>
        <v/>
      </c>
      <c r="V142" s="19" t="str">
        <f>IF(ISERROR(+$C142*+VLOOKUP($B142,'%Analysis'!$A$4:$S$204,18,0)),"",+$C142*+VLOOKUP($B142,'%Analysis'!$A$4:$S$204,18,0))</f>
        <v/>
      </c>
      <c r="Z142" s="37">
        <f>+'%Analysis'!A144</f>
        <v>0</v>
      </c>
    </row>
    <row r="143" spans="1:26" x14ac:dyDescent="0.2">
      <c r="A143" s="53"/>
      <c r="B143" s="19">
        <f t="shared" si="20"/>
        <v>0</v>
      </c>
      <c r="C143" s="40">
        <f t="shared" si="20"/>
        <v>0</v>
      </c>
      <c r="D143" s="40"/>
      <c r="H143" s="19" t="str">
        <f>IF(ISERROR(+$C143*+VLOOKUP($B143,'%Analysis'!$A$4:$S$204,4,0)),"",+$C143*+VLOOKUP($B143,'%Analysis'!$A$4:$S$204,4,0))</f>
        <v/>
      </c>
      <c r="I143" s="19" t="str">
        <f>IF(ISERROR(+$C143*+VLOOKUP($B143,'%Analysis'!$A$4:$S$204,5,0)),"",+$C143*+VLOOKUP($B143,'%Analysis'!$A$4:$S$204,5,0))</f>
        <v/>
      </c>
      <c r="J143" s="19" t="str">
        <f>IF(ISERROR(+$C143*+VLOOKUP($B143,'%Analysis'!$A$4:$S$204,6,0)),"",+$C143*+VLOOKUP($B143,'%Analysis'!$A$4:$S$204,6,0))</f>
        <v/>
      </c>
      <c r="K143" s="19" t="str">
        <f>IF(ISERROR(+$C143*+VLOOKUP($B143,'%Analysis'!$A$4:$S$204,7,0)),"",+$C143*+VLOOKUP($B143,'%Analysis'!$A$4:$S$204,7,0))</f>
        <v/>
      </c>
      <c r="L143" s="19" t="str">
        <f>IF(ISERROR(+$C143*+VLOOKUP($B143,'%Analysis'!$A$4:$S$204,8,0)),"",+$C143*+VLOOKUP($B143,'%Analysis'!$A$4:$S$204,8,0))</f>
        <v/>
      </c>
      <c r="M143" s="19" t="str">
        <f>IF(ISERROR(+$C143*+VLOOKUP($B143,'%Analysis'!$A$4:$S$204,9,0)),"",+$C143*+VLOOKUP($B143,'%Analysis'!$A$4:$S$204,9,0))</f>
        <v/>
      </c>
      <c r="N143" s="19" t="str">
        <f>IF(ISERROR(+$C143*+VLOOKUP($B143,'%Analysis'!$A$4:$S$204,10,0)),"",+$C143*+VLOOKUP($B143,'%Analysis'!$A$4:$S$204,10,0))</f>
        <v/>
      </c>
      <c r="O143" s="19" t="str">
        <f>IF(ISERROR(+$C143*+VLOOKUP($B143,'%Analysis'!$A$4:$S$204,11,0)),"",+$C143*+VLOOKUP($B143,'%Analysis'!$A$4:$S$204,11,0))</f>
        <v/>
      </c>
      <c r="P143" s="19" t="str">
        <f>IF(ISERROR(+$C143*+VLOOKUP($B143,'%Analysis'!$A$4:$S$204,12,0)),"",+$C143*+VLOOKUP($B143,'%Analysis'!$A$4:$S$204,12,0))</f>
        <v/>
      </c>
      <c r="Q143" s="19" t="str">
        <f>IF(ISERROR(+$C143*+VLOOKUP($B143,'%Analysis'!$A$4:$S$204,13,0)),"",+$C143*+VLOOKUP($B143,'%Analysis'!$A$4:$S$204,13,0))</f>
        <v/>
      </c>
      <c r="R143" s="19" t="str">
        <f>IF(ISERROR(+$C143*+VLOOKUP($B143,'%Analysis'!$A$4:$S$204,14,0)),"",+$C143*+VLOOKUP($B143,'%Analysis'!$A$4:$S$204,14,0))</f>
        <v/>
      </c>
      <c r="S143" s="19" t="str">
        <f>IF(ISERROR(+$C143*+VLOOKUP($B143,'%Analysis'!$A$4:$S$204,15,0)),"",+$C143*+VLOOKUP($B143,'%Analysis'!$A$4:$S$204,15,0))</f>
        <v/>
      </c>
      <c r="T143" s="19" t="str">
        <f>IF(ISERROR(+$C143*+VLOOKUP($B143,'%Analysis'!$A$4:$S$204,16,0)),"",+$C143*+VLOOKUP($B143,'%Analysis'!$A$4:$S$204,16,0))</f>
        <v/>
      </c>
      <c r="U143" s="19" t="str">
        <f>IF(ISERROR(+$C143*+VLOOKUP($B143,'%Analysis'!$A$4:$S$204,17,0)),"",+$C143*+VLOOKUP($B143,'%Analysis'!$A$4:$S$204,17,0))</f>
        <v/>
      </c>
      <c r="V143" s="19" t="str">
        <f>IF(ISERROR(+$C143*+VLOOKUP($B143,'%Analysis'!$A$4:$S$204,18,0)),"",+$C143*+VLOOKUP($B143,'%Analysis'!$A$4:$S$204,18,0))</f>
        <v/>
      </c>
      <c r="Z143" s="37">
        <f>+'%Analysis'!A145</f>
        <v>0</v>
      </c>
    </row>
    <row r="144" spans="1:26" x14ac:dyDescent="0.2">
      <c r="A144" s="53"/>
      <c r="B144" s="19">
        <f t="shared" si="20"/>
        <v>0</v>
      </c>
      <c r="C144" s="40">
        <f t="shared" si="20"/>
        <v>0</v>
      </c>
      <c r="D144" s="40"/>
      <c r="H144" s="19" t="str">
        <f>IF(ISERROR(+$C144*+VLOOKUP($B144,'%Analysis'!$A$4:$S$204,4,0)),"",+$C144*+VLOOKUP($B144,'%Analysis'!$A$4:$S$204,4,0))</f>
        <v/>
      </c>
      <c r="I144" s="19" t="str">
        <f>IF(ISERROR(+$C144*+VLOOKUP($B144,'%Analysis'!$A$4:$S$204,5,0)),"",+$C144*+VLOOKUP($B144,'%Analysis'!$A$4:$S$204,5,0))</f>
        <v/>
      </c>
      <c r="J144" s="19" t="str">
        <f>IF(ISERROR(+$C144*+VLOOKUP($B144,'%Analysis'!$A$4:$S$204,6,0)),"",+$C144*+VLOOKUP($B144,'%Analysis'!$A$4:$S$204,6,0))</f>
        <v/>
      </c>
      <c r="K144" s="19" t="str">
        <f>IF(ISERROR(+$C144*+VLOOKUP($B144,'%Analysis'!$A$4:$S$204,7,0)),"",+$C144*+VLOOKUP($B144,'%Analysis'!$A$4:$S$204,7,0))</f>
        <v/>
      </c>
      <c r="L144" s="19" t="str">
        <f>IF(ISERROR(+$C144*+VLOOKUP($B144,'%Analysis'!$A$4:$S$204,8,0)),"",+$C144*+VLOOKUP($B144,'%Analysis'!$A$4:$S$204,8,0))</f>
        <v/>
      </c>
      <c r="M144" s="19" t="str">
        <f>IF(ISERROR(+$C144*+VLOOKUP($B144,'%Analysis'!$A$4:$S$204,9,0)),"",+$C144*+VLOOKUP($B144,'%Analysis'!$A$4:$S$204,9,0))</f>
        <v/>
      </c>
      <c r="N144" s="19" t="str">
        <f>IF(ISERROR(+$C144*+VLOOKUP($B144,'%Analysis'!$A$4:$S$204,10,0)),"",+$C144*+VLOOKUP($B144,'%Analysis'!$A$4:$S$204,10,0))</f>
        <v/>
      </c>
      <c r="O144" s="19" t="str">
        <f>IF(ISERROR(+$C144*+VLOOKUP($B144,'%Analysis'!$A$4:$S$204,11,0)),"",+$C144*+VLOOKUP($B144,'%Analysis'!$A$4:$S$204,11,0))</f>
        <v/>
      </c>
      <c r="P144" s="19" t="str">
        <f>IF(ISERROR(+$C144*+VLOOKUP($B144,'%Analysis'!$A$4:$S$204,12,0)),"",+$C144*+VLOOKUP($B144,'%Analysis'!$A$4:$S$204,12,0))</f>
        <v/>
      </c>
      <c r="Q144" s="19" t="str">
        <f>IF(ISERROR(+$C144*+VLOOKUP($B144,'%Analysis'!$A$4:$S$204,13,0)),"",+$C144*+VLOOKUP($B144,'%Analysis'!$A$4:$S$204,13,0))</f>
        <v/>
      </c>
      <c r="R144" s="19" t="str">
        <f>IF(ISERROR(+$C144*+VLOOKUP($B144,'%Analysis'!$A$4:$S$204,14,0)),"",+$C144*+VLOOKUP($B144,'%Analysis'!$A$4:$S$204,14,0))</f>
        <v/>
      </c>
      <c r="S144" s="19" t="str">
        <f>IF(ISERROR(+$C144*+VLOOKUP($B144,'%Analysis'!$A$4:$S$204,15,0)),"",+$C144*+VLOOKUP($B144,'%Analysis'!$A$4:$S$204,15,0))</f>
        <v/>
      </c>
      <c r="T144" s="19" t="str">
        <f>IF(ISERROR(+$C144*+VLOOKUP($B144,'%Analysis'!$A$4:$S$204,16,0)),"",+$C144*+VLOOKUP($B144,'%Analysis'!$A$4:$S$204,16,0))</f>
        <v/>
      </c>
      <c r="U144" s="19" t="str">
        <f>IF(ISERROR(+$C144*+VLOOKUP($B144,'%Analysis'!$A$4:$S$204,17,0)),"",+$C144*+VLOOKUP($B144,'%Analysis'!$A$4:$S$204,17,0))</f>
        <v/>
      </c>
      <c r="V144" s="19" t="str">
        <f>IF(ISERROR(+$C144*+VLOOKUP($B144,'%Analysis'!$A$4:$S$204,18,0)),"",+$C144*+VLOOKUP($B144,'%Analysis'!$A$4:$S$204,18,0))</f>
        <v/>
      </c>
      <c r="Z144" s="37">
        <f>+'%Analysis'!A146</f>
        <v>0</v>
      </c>
    </row>
    <row r="145" spans="1:26" x14ac:dyDescent="0.2">
      <c r="A145" s="53"/>
      <c r="B145" s="19">
        <f t="shared" si="20"/>
        <v>0</v>
      </c>
      <c r="C145" s="40">
        <f t="shared" si="20"/>
        <v>0</v>
      </c>
      <c r="D145" s="40"/>
      <c r="H145" s="19" t="str">
        <f>IF(ISERROR(+$C145*+VLOOKUP($B145,'%Analysis'!$A$4:$S$204,4,0)),"",+$C145*+VLOOKUP($B145,'%Analysis'!$A$4:$S$204,4,0))</f>
        <v/>
      </c>
      <c r="I145" s="19" t="str">
        <f>IF(ISERROR(+$C145*+VLOOKUP($B145,'%Analysis'!$A$4:$S$204,5,0)),"",+$C145*+VLOOKUP($B145,'%Analysis'!$A$4:$S$204,5,0))</f>
        <v/>
      </c>
      <c r="J145" s="19" t="str">
        <f>IF(ISERROR(+$C145*+VLOOKUP($B145,'%Analysis'!$A$4:$S$204,6,0)),"",+$C145*+VLOOKUP($B145,'%Analysis'!$A$4:$S$204,6,0))</f>
        <v/>
      </c>
      <c r="K145" s="19" t="str">
        <f>IF(ISERROR(+$C145*+VLOOKUP($B145,'%Analysis'!$A$4:$S$204,7,0)),"",+$C145*+VLOOKUP($B145,'%Analysis'!$A$4:$S$204,7,0))</f>
        <v/>
      </c>
      <c r="L145" s="19" t="str">
        <f>IF(ISERROR(+$C145*+VLOOKUP($B145,'%Analysis'!$A$4:$S$204,8,0)),"",+$C145*+VLOOKUP($B145,'%Analysis'!$A$4:$S$204,8,0))</f>
        <v/>
      </c>
      <c r="M145" s="19" t="str">
        <f>IF(ISERROR(+$C145*+VLOOKUP($B145,'%Analysis'!$A$4:$S$204,9,0)),"",+$C145*+VLOOKUP($B145,'%Analysis'!$A$4:$S$204,9,0))</f>
        <v/>
      </c>
      <c r="N145" s="19" t="str">
        <f>IF(ISERROR(+$C145*+VLOOKUP($B145,'%Analysis'!$A$4:$S$204,10,0)),"",+$C145*+VLOOKUP($B145,'%Analysis'!$A$4:$S$204,10,0))</f>
        <v/>
      </c>
      <c r="O145" s="19" t="str">
        <f>IF(ISERROR(+$C145*+VLOOKUP($B145,'%Analysis'!$A$4:$S$204,11,0)),"",+$C145*+VLOOKUP($B145,'%Analysis'!$A$4:$S$204,11,0))</f>
        <v/>
      </c>
      <c r="P145" s="19" t="str">
        <f>IF(ISERROR(+$C145*+VLOOKUP($B145,'%Analysis'!$A$4:$S$204,12,0)),"",+$C145*+VLOOKUP($B145,'%Analysis'!$A$4:$S$204,12,0))</f>
        <v/>
      </c>
      <c r="Q145" s="19" t="str">
        <f>IF(ISERROR(+$C145*+VLOOKUP($B145,'%Analysis'!$A$4:$S$204,13,0)),"",+$C145*+VLOOKUP($B145,'%Analysis'!$A$4:$S$204,13,0))</f>
        <v/>
      </c>
      <c r="R145" s="19" t="str">
        <f>IF(ISERROR(+$C145*+VLOOKUP($B145,'%Analysis'!$A$4:$S$204,14,0)),"",+$C145*+VLOOKUP($B145,'%Analysis'!$A$4:$S$204,14,0))</f>
        <v/>
      </c>
      <c r="S145" s="19" t="str">
        <f>IF(ISERROR(+$C145*+VLOOKUP($B145,'%Analysis'!$A$4:$S$204,15,0)),"",+$C145*+VLOOKUP($B145,'%Analysis'!$A$4:$S$204,15,0))</f>
        <v/>
      </c>
      <c r="T145" s="19" t="str">
        <f>IF(ISERROR(+$C145*+VLOOKUP($B145,'%Analysis'!$A$4:$S$204,16,0)),"",+$C145*+VLOOKUP($B145,'%Analysis'!$A$4:$S$204,16,0))</f>
        <v/>
      </c>
      <c r="U145" s="19" t="str">
        <f>IF(ISERROR(+$C145*+VLOOKUP($B145,'%Analysis'!$A$4:$S$204,17,0)),"",+$C145*+VLOOKUP($B145,'%Analysis'!$A$4:$S$204,17,0))</f>
        <v/>
      </c>
      <c r="V145" s="19" t="str">
        <f>IF(ISERROR(+$C145*+VLOOKUP($B145,'%Analysis'!$A$4:$S$204,18,0)),"",+$C145*+VLOOKUP($B145,'%Analysis'!$A$4:$S$204,18,0))</f>
        <v/>
      </c>
      <c r="Z145" s="37">
        <f>+'%Analysis'!A147</f>
        <v>0</v>
      </c>
    </row>
    <row r="146" spans="1:26" x14ac:dyDescent="0.2">
      <c r="A146" s="53"/>
      <c r="B146" s="19">
        <f t="shared" si="20"/>
        <v>0</v>
      </c>
      <c r="C146" s="40">
        <f t="shared" si="20"/>
        <v>0</v>
      </c>
      <c r="D146" s="40"/>
      <c r="H146" s="19" t="str">
        <f>IF(ISERROR(+$C146*+VLOOKUP($B146,'%Analysis'!$A$4:$S$204,4,0)),"",+$C146*+VLOOKUP($B146,'%Analysis'!$A$4:$S$204,4,0))</f>
        <v/>
      </c>
      <c r="I146" s="19" t="str">
        <f>IF(ISERROR(+$C146*+VLOOKUP($B146,'%Analysis'!$A$4:$S$204,5,0)),"",+$C146*+VLOOKUP($B146,'%Analysis'!$A$4:$S$204,5,0))</f>
        <v/>
      </c>
      <c r="J146" s="19" t="str">
        <f>IF(ISERROR(+$C146*+VLOOKUP($B146,'%Analysis'!$A$4:$S$204,6,0)),"",+$C146*+VLOOKUP($B146,'%Analysis'!$A$4:$S$204,6,0))</f>
        <v/>
      </c>
      <c r="K146" s="19" t="str">
        <f>IF(ISERROR(+$C146*+VLOOKUP($B146,'%Analysis'!$A$4:$S$204,7,0)),"",+$C146*+VLOOKUP($B146,'%Analysis'!$A$4:$S$204,7,0))</f>
        <v/>
      </c>
      <c r="L146" s="19" t="str">
        <f>IF(ISERROR(+$C146*+VLOOKUP($B146,'%Analysis'!$A$4:$S$204,8,0)),"",+$C146*+VLOOKUP($B146,'%Analysis'!$A$4:$S$204,8,0))</f>
        <v/>
      </c>
      <c r="M146" s="19" t="str">
        <f>IF(ISERROR(+$C146*+VLOOKUP($B146,'%Analysis'!$A$4:$S$204,9,0)),"",+$C146*+VLOOKUP($B146,'%Analysis'!$A$4:$S$204,9,0))</f>
        <v/>
      </c>
      <c r="N146" s="19" t="str">
        <f>IF(ISERROR(+$C146*+VLOOKUP($B146,'%Analysis'!$A$4:$S$204,10,0)),"",+$C146*+VLOOKUP($B146,'%Analysis'!$A$4:$S$204,10,0))</f>
        <v/>
      </c>
      <c r="O146" s="19" t="str">
        <f>IF(ISERROR(+$C146*+VLOOKUP($B146,'%Analysis'!$A$4:$S$204,11,0)),"",+$C146*+VLOOKUP($B146,'%Analysis'!$A$4:$S$204,11,0))</f>
        <v/>
      </c>
      <c r="P146" s="19" t="str">
        <f>IF(ISERROR(+$C146*+VLOOKUP($B146,'%Analysis'!$A$4:$S$204,12,0)),"",+$C146*+VLOOKUP($B146,'%Analysis'!$A$4:$S$204,12,0))</f>
        <v/>
      </c>
      <c r="Q146" s="19" t="str">
        <f>IF(ISERROR(+$C146*+VLOOKUP($B146,'%Analysis'!$A$4:$S$204,13,0)),"",+$C146*+VLOOKUP($B146,'%Analysis'!$A$4:$S$204,13,0))</f>
        <v/>
      </c>
      <c r="R146" s="19" t="str">
        <f>IF(ISERROR(+$C146*+VLOOKUP($B146,'%Analysis'!$A$4:$S$204,14,0)),"",+$C146*+VLOOKUP($B146,'%Analysis'!$A$4:$S$204,14,0))</f>
        <v/>
      </c>
      <c r="S146" s="19" t="str">
        <f>IF(ISERROR(+$C146*+VLOOKUP($B146,'%Analysis'!$A$4:$S$204,15,0)),"",+$C146*+VLOOKUP($B146,'%Analysis'!$A$4:$S$204,15,0))</f>
        <v/>
      </c>
      <c r="T146" s="19" t="str">
        <f>IF(ISERROR(+$C146*+VLOOKUP($B146,'%Analysis'!$A$4:$S$204,16,0)),"",+$C146*+VLOOKUP($B146,'%Analysis'!$A$4:$S$204,16,0))</f>
        <v/>
      </c>
      <c r="U146" s="19" t="str">
        <f>IF(ISERROR(+$C146*+VLOOKUP($B146,'%Analysis'!$A$4:$S$204,17,0)),"",+$C146*+VLOOKUP($B146,'%Analysis'!$A$4:$S$204,17,0))</f>
        <v/>
      </c>
      <c r="V146" s="19" t="str">
        <f>IF(ISERROR(+$C146*+VLOOKUP($B146,'%Analysis'!$A$4:$S$204,18,0)),"",+$C146*+VLOOKUP($B146,'%Analysis'!$A$4:$S$204,18,0))</f>
        <v/>
      </c>
      <c r="Z146" s="37">
        <f>+'%Analysis'!A148</f>
        <v>0</v>
      </c>
    </row>
    <row r="147" spans="1:26" x14ac:dyDescent="0.2">
      <c r="A147" s="53"/>
      <c r="B147" s="19">
        <f t="shared" si="20"/>
        <v>0</v>
      </c>
      <c r="C147" s="40">
        <f t="shared" si="20"/>
        <v>0</v>
      </c>
      <c r="D147" s="40"/>
      <c r="H147" s="19" t="str">
        <f>IF(ISERROR(+$C147*+VLOOKUP($B147,'%Analysis'!$A$4:$S$204,4,0)),"",+$C147*+VLOOKUP($B147,'%Analysis'!$A$4:$S$204,4,0))</f>
        <v/>
      </c>
      <c r="I147" s="19" t="str">
        <f>IF(ISERROR(+$C147*+VLOOKUP($B147,'%Analysis'!$A$4:$S$204,5,0)),"",+$C147*+VLOOKUP($B147,'%Analysis'!$A$4:$S$204,5,0))</f>
        <v/>
      </c>
      <c r="J147" s="19" t="str">
        <f>IF(ISERROR(+$C147*+VLOOKUP($B147,'%Analysis'!$A$4:$S$204,6,0)),"",+$C147*+VLOOKUP($B147,'%Analysis'!$A$4:$S$204,6,0))</f>
        <v/>
      </c>
      <c r="K147" s="19" t="str">
        <f>IF(ISERROR(+$C147*+VLOOKUP($B147,'%Analysis'!$A$4:$S$204,7,0)),"",+$C147*+VLOOKUP($B147,'%Analysis'!$A$4:$S$204,7,0))</f>
        <v/>
      </c>
      <c r="L147" s="19" t="str">
        <f>IF(ISERROR(+$C147*+VLOOKUP($B147,'%Analysis'!$A$4:$S$204,8,0)),"",+$C147*+VLOOKUP($B147,'%Analysis'!$A$4:$S$204,8,0))</f>
        <v/>
      </c>
      <c r="M147" s="19" t="str">
        <f>IF(ISERROR(+$C147*+VLOOKUP($B147,'%Analysis'!$A$4:$S$204,9,0)),"",+$C147*+VLOOKUP($B147,'%Analysis'!$A$4:$S$204,9,0))</f>
        <v/>
      </c>
      <c r="N147" s="19" t="str">
        <f>IF(ISERROR(+$C147*+VLOOKUP($B147,'%Analysis'!$A$4:$S$204,10,0)),"",+$C147*+VLOOKUP($B147,'%Analysis'!$A$4:$S$204,10,0))</f>
        <v/>
      </c>
      <c r="O147" s="19" t="str">
        <f>IF(ISERROR(+$C147*+VLOOKUP($B147,'%Analysis'!$A$4:$S$204,11,0)),"",+$C147*+VLOOKUP($B147,'%Analysis'!$A$4:$S$204,11,0))</f>
        <v/>
      </c>
      <c r="P147" s="19" t="str">
        <f>IF(ISERROR(+$C147*+VLOOKUP($B147,'%Analysis'!$A$4:$S$204,12,0)),"",+$C147*+VLOOKUP($B147,'%Analysis'!$A$4:$S$204,12,0))</f>
        <v/>
      </c>
      <c r="Q147" s="19" t="str">
        <f>IF(ISERROR(+$C147*+VLOOKUP($B147,'%Analysis'!$A$4:$S$204,13,0)),"",+$C147*+VLOOKUP($B147,'%Analysis'!$A$4:$S$204,13,0))</f>
        <v/>
      </c>
      <c r="R147" s="19" t="str">
        <f>IF(ISERROR(+$C147*+VLOOKUP($B147,'%Analysis'!$A$4:$S$204,14,0)),"",+$C147*+VLOOKUP($B147,'%Analysis'!$A$4:$S$204,14,0))</f>
        <v/>
      </c>
      <c r="S147" s="19" t="str">
        <f>IF(ISERROR(+$C147*+VLOOKUP($B147,'%Analysis'!$A$4:$S$204,15,0)),"",+$C147*+VLOOKUP($B147,'%Analysis'!$A$4:$S$204,15,0))</f>
        <v/>
      </c>
      <c r="T147" s="19" t="str">
        <f>IF(ISERROR(+$C147*+VLOOKUP($B147,'%Analysis'!$A$4:$S$204,16,0)),"",+$C147*+VLOOKUP($B147,'%Analysis'!$A$4:$S$204,16,0))</f>
        <v/>
      </c>
      <c r="U147" s="19" t="str">
        <f>IF(ISERROR(+$C147*+VLOOKUP($B147,'%Analysis'!$A$4:$S$204,17,0)),"",+$C147*+VLOOKUP($B147,'%Analysis'!$A$4:$S$204,17,0))</f>
        <v/>
      </c>
      <c r="V147" s="19" t="str">
        <f>IF(ISERROR(+$C147*+VLOOKUP($B147,'%Analysis'!$A$4:$S$204,18,0)),"",+$C147*+VLOOKUP($B147,'%Analysis'!$A$4:$S$204,18,0))</f>
        <v/>
      </c>
      <c r="Z147" s="37">
        <f>+'%Analysis'!A149</f>
        <v>0</v>
      </c>
    </row>
    <row r="148" spans="1:26" x14ac:dyDescent="0.2">
      <c r="A148" s="53"/>
      <c r="B148" s="19">
        <f t="shared" si="20"/>
        <v>0</v>
      </c>
      <c r="C148" s="40">
        <f t="shared" si="20"/>
        <v>0</v>
      </c>
      <c r="D148" s="40"/>
      <c r="H148" s="19" t="str">
        <f>IF(ISERROR(+$C148*+VLOOKUP($B148,'%Analysis'!$A$4:$S$204,4,0)),"",+$C148*+VLOOKUP($B148,'%Analysis'!$A$4:$S$204,4,0))</f>
        <v/>
      </c>
      <c r="I148" s="19" t="str">
        <f>IF(ISERROR(+$C148*+VLOOKUP($B148,'%Analysis'!$A$4:$S$204,5,0)),"",+$C148*+VLOOKUP($B148,'%Analysis'!$A$4:$S$204,5,0))</f>
        <v/>
      </c>
      <c r="J148" s="19" t="str">
        <f>IF(ISERROR(+$C148*+VLOOKUP($B148,'%Analysis'!$A$4:$S$204,6,0)),"",+$C148*+VLOOKUP($B148,'%Analysis'!$A$4:$S$204,6,0))</f>
        <v/>
      </c>
      <c r="K148" s="19" t="str">
        <f>IF(ISERROR(+$C148*+VLOOKUP($B148,'%Analysis'!$A$4:$S$204,7,0)),"",+$C148*+VLOOKUP($B148,'%Analysis'!$A$4:$S$204,7,0))</f>
        <v/>
      </c>
      <c r="L148" s="19" t="str">
        <f>IF(ISERROR(+$C148*+VLOOKUP($B148,'%Analysis'!$A$4:$S$204,8,0)),"",+$C148*+VLOOKUP($B148,'%Analysis'!$A$4:$S$204,8,0))</f>
        <v/>
      </c>
      <c r="M148" s="19" t="str">
        <f>IF(ISERROR(+$C148*+VLOOKUP($B148,'%Analysis'!$A$4:$S$204,9,0)),"",+$C148*+VLOOKUP($B148,'%Analysis'!$A$4:$S$204,9,0))</f>
        <v/>
      </c>
      <c r="N148" s="19" t="str">
        <f>IF(ISERROR(+$C148*+VLOOKUP($B148,'%Analysis'!$A$4:$S$204,10,0)),"",+$C148*+VLOOKUP($B148,'%Analysis'!$A$4:$S$204,10,0))</f>
        <v/>
      </c>
      <c r="O148" s="19" t="str">
        <f>IF(ISERROR(+$C148*+VLOOKUP($B148,'%Analysis'!$A$4:$S$204,11,0)),"",+$C148*+VLOOKUP($B148,'%Analysis'!$A$4:$S$204,11,0))</f>
        <v/>
      </c>
      <c r="P148" s="19" t="str">
        <f>IF(ISERROR(+$C148*+VLOOKUP($B148,'%Analysis'!$A$4:$S$204,12,0)),"",+$C148*+VLOOKUP($B148,'%Analysis'!$A$4:$S$204,12,0))</f>
        <v/>
      </c>
      <c r="Q148" s="19" t="str">
        <f>IF(ISERROR(+$C148*+VLOOKUP($B148,'%Analysis'!$A$4:$S$204,13,0)),"",+$C148*+VLOOKUP($B148,'%Analysis'!$A$4:$S$204,13,0))</f>
        <v/>
      </c>
      <c r="R148" s="19" t="str">
        <f>IF(ISERROR(+$C148*+VLOOKUP($B148,'%Analysis'!$A$4:$S$204,14,0)),"",+$C148*+VLOOKUP($B148,'%Analysis'!$A$4:$S$204,14,0))</f>
        <v/>
      </c>
      <c r="S148" s="19" t="str">
        <f>IF(ISERROR(+$C148*+VLOOKUP($B148,'%Analysis'!$A$4:$S$204,15,0)),"",+$C148*+VLOOKUP($B148,'%Analysis'!$A$4:$S$204,15,0))</f>
        <v/>
      </c>
      <c r="T148" s="19" t="str">
        <f>IF(ISERROR(+$C148*+VLOOKUP($B148,'%Analysis'!$A$4:$S$204,16,0)),"",+$C148*+VLOOKUP($B148,'%Analysis'!$A$4:$S$204,16,0))</f>
        <v/>
      </c>
      <c r="U148" s="19" t="str">
        <f>IF(ISERROR(+$C148*+VLOOKUP($B148,'%Analysis'!$A$4:$S$204,17,0)),"",+$C148*+VLOOKUP($B148,'%Analysis'!$A$4:$S$204,17,0))</f>
        <v/>
      </c>
      <c r="V148" s="19" t="str">
        <f>IF(ISERROR(+$C148*+VLOOKUP($B148,'%Analysis'!$A$4:$S$204,18,0)),"",+$C148*+VLOOKUP($B148,'%Analysis'!$A$4:$S$204,18,0))</f>
        <v/>
      </c>
      <c r="Z148" s="37">
        <f>+'%Analysis'!A150</f>
        <v>0</v>
      </c>
    </row>
    <row r="149" spans="1:26" x14ac:dyDescent="0.2">
      <c r="A149" s="53"/>
      <c r="B149" s="19"/>
      <c r="C149" s="40"/>
      <c r="D149" s="40"/>
      <c r="H149" s="19" t="str">
        <f>IF(ISERROR(+$C149*+VLOOKUP($B149,'%Analysis'!$A$4:$S$204,4,0)),"",+$C149*+VLOOKUP($B149,'%Analysis'!$A$4:$S$204,4,0))</f>
        <v/>
      </c>
      <c r="I149" s="19" t="str">
        <f>IF(ISERROR(+$C149*+VLOOKUP($B149,'%Analysis'!$A$4:$S$204,5,0)),"",+$C149*+VLOOKUP($B149,'%Analysis'!$A$4:$S$204,5,0))</f>
        <v/>
      </c>
      <c r="J149" s="19" t="str">
        <f>IF(ISERROR(+$C149*+VLOOKUP($B149,'%Analysis'!$A$4:$S$204,6,0)),"",+$C149*+VLOOKUP($B149,'%Analysis'!$A$4:$S$204,6,0))</f>
        <v/>
      </c>
      <c r="K149" s="19" t="str">
        <f>IF(ISERROR(+$C149*+VLOOKUP($B149,'%Analysis'!$A$4:$S$204,7,0)),"",+$C149*+VLOOKUP($B149,'%Analysis'!$A$4:$S$204,7,0))</f>
        <v/>
      </c>
      <c r="L149" s="19" t="str">
        <f>IF(ISERROR(+$C149*+VLOOKUP($B149,'%Analysis'!$A$4:$S$204,8,0)),"",+$C149*+VLOOKUP($B149,'%Analysis'!$A$4:$S$204,8,0))</f>
        <v/>
      </c>
      <c r="M149" s="19" t="str">
        <f>IF(ISERROR(+$C149*+VLOOKUP($B149,'%Analysis'!$A$4:$S$204,9,0)),"",+$C149*+VLOOKUP($B149,'%Analysis'!$A$4:$S$204,9,0))</f>
        <v/>
      </c>
      <c r="N149" s="19" t="str">
        <f>IF(ISERROR(+$C149*+VLOOKUP($B149,'%Analysis'!$A$4:$S$204,10,0)),"",+$C149*+VLOOKUP($B149,'%Analysis'!$A$4:$S$204,10,0))</f>
        <v/>
      </c>
      <c r="O149" s="19" t="str">
        <f>IF(ISERROR(+$C149*+VLOOKUP($B149,'%Analysis'!$A$4:$S$204,11,0)),"",+$C149*+VLOOKUP($B149,'%Analysis'!$A$4:$S$204,11,0))</f>
        <v/>
      </c>
      <c r="P149" s="19" t="str">
        <f>IF(ISERROR(+$C149*+VLOOKUP($B149,'%Analysis'!$A$4:$S$204,12,0)),"",+$C149*+VLOOKUP($B149,'%Analysis'!$A$4:$S$204,12,0))</f>
        <v/>
      </c>
      <c r="Q149" s="19" t="str">
        <f>IF(ISERROR(+$C149*+VLOOKUP($B149,'%Analysis'!$A$4:$S$204,13,0)),"",+$C149*+VLOOKUP($B149,'%Analysis'!$A$4:$S$204,13,0))</f>
        <v/>
      </c>
      <c r="R149" s="19" t="str">
        <f>IF(ISERROR(+$C149*+VLOOKUP($B149,'%Analysis'!$A$4:$S$204,14,0)),"",+$C149*+VLOOKUP($B149,'%Analysis'!$A$4:$S$204,14,0))</f>
        <v/>
      </c>
      <c r="S149" s="19" t="str">
        <f>IF(ISERROR(+$C149*+VLOOKUP($B149,'%Analysis'!$A$4:$S$204,15,0)),"",+$C149*+VLOOKUP($B149,'%Analysis'!$A$4:$S$204,15,0))</f>
        <v/>
      </c>
      <c r="T149" s="19" t="str">
        <f>IF(ISERROR(+$C149*+VLOOKUP($B149,'%Analysis'!$A$4:$S$204,16,0)),"",+$C149*+VLOOKUP($B149,'%Analysis'!$A$4:$S$204,16,0))</f>
        <v/>
      </c>
      <c r="U149" s="19" t="str">
        <f>IF(ISERROR(+$C149*+VLOOKUP($B149,'%Analysis'!$A$4:$S$204,17,0)),"",+$C149*+VLOOKUP($B149,'%Analysis'!$A$4:$S$204,17,0))</f>
        <v/>
      </c>
      <c r="V149" s="19" t="str">
        <f>IF(ISERROR(+$C149*+VLOOKUP($B149,'%Analysis'!$A$4:$S$204,18,0)),"",+$C149*+VLOOKUP($B149,'%Analysis'!$A$4:$S$204,18,0))</f>
        <v/>
      </c>
      <c r="Z149" s="37">
        <f>+'%Analysis'!A151</f>
        <v>0</v>
      </c>
    </row>
    <row r="150" spans="1:26" x14ac:dyDescent="0.2">
      <c r="A150" s="53"/>
      <c r="B150" s="19"/>
      <c r="C150" s="40"/>
      <c r="D150" s="40"/>
      <c r="H150" s="19" t="str">
        <f>IF(ISERROR(+$C150*+VLOOKUP($B150,'%Analysis'!$A$4:$S$204,4,0)),"",+$C150*+VLOOKUP($B150,'%Analysis'!$A$4:$S$204,4,0))</f>
        <v/>
      </c>
      <c r="I150" s="19" t="str">
        <f>IF(ISERROR(+$C150*+VLOOKUP($B150,'%Analysis'!$A$4:$S$204,5,0)),"",+$C150*+VLOOKUP($B150,'%Analysis'!$A$4:$S$204,5,0))</f>
        <v/>
      </c>
      <c r="J150" s="19" t="str">
        <f>IF(ISERROR(+$C150*+VLOOKUP($B150,'%Analysis'!$A$4:$S$204,6,0)),"",+$C150*+VLOOKUP($B150,'%Analysis'!$A$4:$S$204,6,0))</f>
        <v/>
      </c>
      <c r="K150" s="19" t="str">
        <f>IF(ISERROR(+$C150*+VLOOKUP($B150,'%Analysis'!$A$4:$S$204,7,0)),"",+$C150*+VLOOKUP($B150,'%Analysis'!$A$4:$S$204,7,0))</f>
        <v/>
      </c>
      <c r="L150" s="19" t="str">
        <f>IF(ISERROR(+$C150*+VLOOKUP($B150,'%Analysis'!$A$4:$S$204,8,0)),"",+$C150*+VLOOKUP($B150,'%Analysis'!$A$4:$S$204,8,0))</f>
        <v/>
      </c>
      <c r="M150" s="19" t="str">
        <f>IF(ISERROR(+$C150*+VLOOKUP($B150,'%Analysis'!$A$4:$S$204,9,0)),"",+$C150*+VLOOKUP($B150,'%Analysis'!$A$4:$S$204,9,0))</f>
        <v/>
      </c>
      <c r="N150" s="19" t="str">
        <f>IF(ISERROR(+$C150*+VLOOKUP($B150,'%Analysis'!$A$4:$S$204,10,0)),"",+$C150*+VLOOKUP($B150,'%Analysis'!$A$4:$S$204,10,0))</f>
        <v/>
      </c>
      <c r="O150" s="19" t="str">
        <f>IF(ISERROR(+$C150*+VLOOKUP($B150,'%Analysis'!$A$4:$S$204,11,0)),"",+$C150*+VLOOKUP($B150,'%Analysis'!$A$4:$S$204,11,0))</f>
        <v/>
      </c>
      <c r="P150" s="19" t="str">
        <f>IF(ISERROR(+$C150*+VLOOKUP($B150,'%Analysis'!$A$4:$S$204,12,0)),"",+$C150*+VLOOKUP($B150,'%Analysis'!$A$4:$S$204,12,0))</f>
        <v/>
      </c>
      <c r="Q150" s="19" t="str">
        <f>IF(ISERROR(+$C150*+VLOOKUP($B150,'%Analysis'!$A$4:$S$204,13,0)),"",+$C150*+VLOOKUP($B150,'%Analysis'!$A$4:$S$204,13,0))</f>
        <v/>
      </c>
      <c r="R150" s="19" t="str">
        <f>IF(ISERROR(+$C150*+VLOOKUP($B150,'%Analysis'!$A$4:$S$204,14,0)),"",+$C150*+VLOOKUP($B150,'%Analysis'!$A$4:$S$204,14,0))</f>
        <v/>
      </c>
      <c r="S150" s="19" t="str">
        <f>IF(ISERROR(+$C150*+VLOOKUP($B150,'%Analysis'!$A$4:$S$204,15,0)),"",+$C150*+VLOOKUP($B150,'%Analysis'!$A$4:$S$204,15,0))</f>
        <v/>
      </c>
      <c r="T150" s="19" t="str">
        <f>IF(ISERROR(+$C150*+VLOOKUP($B150,'%Analysis'!$A$4:$S$204,16,0)),"",+$C150*+VLOOKUP($B150,'%Analysis'!$A$4:$S$204,16,0))</f>
        <v/>
      </c>
      <c r="U150" s="19" t="str">
        <f>IF(ISERROR(+$C150*+VLOOKUP($B150,'%Analysis'!$A$4:$S$204,17,0)),"",+$C150*+VLOOKUP($B150,'%Analysis'!$A$4:$S$204,17,0))</f>
        <v/>
      </c>
      <c r="V150" s="19" t="str">
        <f>IF(ISERROR(+$C150*+VLOOKUP($B150,'%Analysis'!$A$4:$S$204,18,0)),"",+$C150*+VLOOKUP($B150,'%Analysis'!$A$4:$S$204,18,0))</f>
        <v/>
      </c>
      <c r="Z150" s="37">
        <f>+'%Analysis'!A152</f>
        <v>0</v>
      </c>
    </row>
    <row r="151" spans="1:26" x14ac:dyDescent="0.2">
      <c r="A151" s="53"/>
      <c r="B151" s="19"/>
      <c r="C151" s="40"/>
      <c r="D151" s="40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Z151" s="37">
        <f>+'%Analysis'!A153</f>
        <v>0</v>
      </c>
    </row>
    <row r="152" spans="1:26" x14ac:dyDescent="0.2">
      <c r="A152" s="53"/>
      <c r="B152" s="19"/>
      <c r="C152" s="40"/>
      <c r="D152" s="40"/>
      <c r="Z152" s="37">
        <f>+'%Analysis'!A154</f>
        <v>0</v>
      </c>
    </row>
    <row r="153" spans="1:26" x14ac:dyDescent="0.2">
      <c r="A153" s="53"/>
      <c r="B153" s="19"/>
      <c r="C153" s="40" t="s">
        <v>46</v>
      </c>
      <c r="D153" s="40"/>
      <c r="F153" s="19">
        <f>384.248/414.63</f>
        <v>0.92672503195620193</v>
      </c>
      <c r="H153" s="19">
        <f>SUM(H136:H152)</f>
        <v>0</v>
      </c>
      <c r="I153" s="19">
        <f t="shared" ref="I153:V153" si="21">SUM(I136:I152)</f>
        <v>0</v>
      </c>
      <c r="J153" s="19">
        <f t="shared" si="21"/>
        <v>0</v>
      </c>
      <c r="K153" s="19">
        <f t="shared" si="21"/>
        <v>0</v>
      </c>
      <c r="L153" s="19">
        <f t="shared" si="21"/>
        <v>0</v>
      </c>
      <c r="M153" s="19">
        <f t="shared" si="21"/>
        <v>0</v>
      </c>
      <c r="N153" s="19">
        <f t="shared" si="21"/>
        <v>0</v>
      </c>
      <c r="O153" s="19">
        <f t="shared" si="21"/>
        <v>0</v>
      </c>
      <c r="P153" s="19">
        <f t="shared" si="21"/>
        <v>0</v>
      </c>
      <c r="Q153" s="19">
        <f t="shared" si="21"/>
        <v>0</v>
      </c>
      <c r="R153" s="19">
        <f t="shared" si="21"/>
        <v>0</v>
      </c>
      <c r="S153" s="19">
        <f t="shared" si="21"/>
        <v>0</v>
      </c>
      <c r="T153" s="19">
        <f t="shared" si="21"/>
        <v>0</v>
      </c>
      <c r="U153" s="19">
        <f t="shared" si="21"/>
        <v>0</v>
      </c>
      <c r="V153" s="19">
        <f t="shared" si="21"/>
        <v>0</v>
      </c>
      <c r="Z153" s="37">
        <f>+'%Analysis'!A155</f>
        <v>0</v>
      </c>
    </row>
    <row r="154" spans="1:26" x14ac:dyDescent="0.2">
      <c r="A154" s="53"/>
      <c r="B154" s="19"/>
      <c r="C154" s="40" t="s">
        <v>47</v>
      </c>
      <c r="D154" s="40"/>
      <c r="H154" s="75">
        <v>94.195999999999998</v>
      </c>
      <c r="I154" s="75">
        <v>61.978999999999999</v>
      </c>
      <c r="J154" s="75">
        <v>29.881</v>
      </c>
      <c r="K154" s="75">
        <v>56.076999999999998</v>
      </c>
      <c r="L154" s="75">
        <v>103.619</v>
      </c>
      <c r="M154" s="75">
        <v>40.304000000000002</v>
      </c>
      <c r="N154" s="75">
        <v>81.379000000000005</v>
      </c>
      <c r="O154" s="75">
        <v>153.32599999999999</v>
      </c>
      <c r="P154" s="165">
        <v>101.961</v>
      </c>
      <c r="Q154" s="19">
        <v>159.68799999999999</v>
      </c>
      <c r="R154" s="19">
        <v>69.62</v>
      </c>
      <c r="S154" s="19">
        <v>60.084000000000003</v>
      </c>
      <c r="T154" s="19">
        <v>79.866</v>
      </c>
      <c r="U154" s="19">
        <v>44.01</v>
      </c>
      <c r="V154" s="19">
        <v>18.015000000000001</v>
      </c>
      <c r="Z154" s="37">
        <f>+'%Analysis'!A156</f>
        <v>0</v>
      </c>
    </row>
    <row r="155" spans="1:26" x14ac:dyDescent="0.2">
      <c r="A155" s="53"/>
      <c r="B155" s="19"/>
      <c r="C155" s="40" t="s">
        <v>48</v>
      </c>
      <c r="D155" s="40"/>
      <c r="F155" s="40">
        <f>SUM(I155:V155)</f>
        <v>0</v>
      </c>
      <c r="H155" s="53">
        <f>H153/H154</f>
        <v>0</v>
      </c>
      <c r="I155" s="53">
        <f>I153/I154</f>
        <v>0</v>
      </c>
      <c r="J155" s="19">
        <f>J153/J154</f>
        <v>0</v>
      </c>
      <c r="K155" s="19">
        <f>K153/K154</f>
        <v>0</v>
      </c>
      <c r="L155" s="19">
        <f t="shared" ref="L155:V155" si="22">L153/L154</f>
        <v>0</v>
      </c>
      <c r="M155" s="19">
        <f t="shared" si="22"/>
        <v>0</v>
      </c>
      <c r="N155" s="19">
        <f t="shared" si="22"/>
        <v>0</v>
      </c>
      <c r="O155" s="19">
        <f t="shared" si="22"/>
        <v>0</v>
      </c>
      <c r="P155" s="19">
        <f t="shared" si="22"/>
        <v>0</v>
      </c>
      <c r="Q155" s="19">
        <f t="shared" si="22"/>
        <v>0</v>
      </c>
      <c r="R155" s="19">
        <f t="shared" si="22"/>
        <v>0</v>
      </c>
      <c r="S155" s="19">
        <f t="shared" si="22"/>
        <v>0</v>
      </c>
      <c r="T155" s="19">
        <f t="shared" si="22"/>
        <v>0</v>
      </c>
      <c r="U155" s="19">
        <f t="shared" si="22"/>
        <v>0</v>
      </c>
      <c r="V155" s="19">
        <f t="shared" si="22"/>
        <v>0</v>
      </c>
    </row>
    <row r="156" spans="1:26" x14ac:dyDescent="0.2">
      <c r="B156" s="19"/>
      <c r="C156" s="40" t="s">
        <v>49</v>
      </c>
      <c r="D156" s="40"/>
      <c r="H156" s="53">
        <f>SUM(H155:O155)</f>
        <v>0</v>
      </c>
      <c r="I156" s="53"/>
    </row>
    <row r="157" spans="1:26" x14ac:dyDescent="0.2">
      <c r="A157" s="53"/>
      <c r="B157" s="19"/>
      <c r="C157" s="40" t="s">
        <v>50</v>
      </c>
      <c r="D157" s="40"/>
      <c r="H157" s="53" t="e">
        <f t="shared" ref="H157:V157" si="23">H155/$H$156</f>
        <v>#DIV/0!</v>
      </c>
      <c r="I157" s="53" t="e">
        <f t="shared" si="23"/>
        <v>#DIV/0!</v>
      </c>
      <c r="J157" s="19" t="e">
        <f t="shared" si="23"/>
        <v>#DIV/0!</v>
      </c>
      <c r="K157" s="19" t="e">
        <f t="shared" si="23"/>
        <v>#DIV/0!</v>
      </c>
      <c r="L157" s="19" t="e">
        <f t="shared" si="23"/>
        <v>#DIV/0!</v>
      </c>
      <c r="M157" s="19" t="e">
        <f t="shared" si="23"/>
        <v>#DIV/0!</v>
      </c>
      <c r="N157" s="19" t="e">
        <f t="shared" si="23"/>
        <v>#DIV/0!</v>
      </c>
      <c r="O157" s="19" t="e">
        <f t="shared" si="23"/>
        <v>#DIV/0!</v>
      </c>
      <c r="P157" s="19" t="e">
        <f t="shared" si="23"/>
        <v>#DIV/0!</v>
      </c>
      <c r="Q157" s="19" t="e">
        <f t="shared" si="23"/>
        <v>#DIV/0!</v>
      </c>
      <c r="R157" s="19" t="e">
        <f t="shared" si="23"/>
        <v>#DIV/0!</v>
      </c>
      <c r="S157" s="19" t="e">
        <f t="shared" si="23"/>
        <v>#DIV/0!</v>
      </c>
      <c r="T157" s="19" t="e">
        <f t="shared" si="23"/>
        <v>#DIV/0!</v>
      </c>
      <c r="U157" s="19" t="e">
        <f t="shared" si="23"/>
        <v>#DIV/0!</v>
      </c>
      <c r="V157" s="19" t="e">
        <f t="shared" si="23"/>
        <v>#DIV/0!</v>
      </c>
    </row>
    <row r="158" spans="1:26" x14ac:dyDescent="0.2">
      <c r="A158" s="53"/>
      <c r="B158" s="19"/>
      <c r="C158" s="40"/>
      <c r="D158" s="40"/>
    </row>
    <row r="159" spans="1:26" x14ac:dyDescent="0.2">
      <c r="A159" s="53"/>
      <c r="B159" s="19"/>
      <c r="C159" s="40"/>
      <c r="D159" s="40"/>
      <c r="G159" s="40" t="s">
        <v>131</v>
      </c>
      <c r="H159" s="25" t="s">
        <v>2</v>
      </c>
      <c r="I159" s="25" t="s">
        <v>3</v>
      </c>
      <c r="J159" s="25" t="s">
        <v>4</v>
      </c>
      <c r="K159" s="25" t="s">
        <v>5</v>
      </c>
      <c r="L159" s="25" t="s">
        <v>7</v>
      </c>
      <c r="M159" s="25" t="s">
        <v>6</v>
      </c>
      <c r="N159" s="27" t="s">
        <v>8</v>
      </c>
      <c r="O159" s="25" t="s">
        <v>9</v>
      </c>
      <c r="P159" s="25" t="s">
        <v>10</v>
      </c>
      <c r="Q159" s="25" t="s">
        <v>11</v>
      </c>
      <c r="R159" s="25" t="s">
        <v>12</v>
      </c>
      <c r="S159" s="25" t="s">
        <v>13</v>
      </c>
      <c r="T159" s="25" t="s">
        <v>14</v>
      </c>
      <c r="U159" s="25" t="s">
        <v>15</v>
      </c>
      <c r="V159" s="25" t="s">
        <v>16</v>
      </c>
    </row>
    <row r="160" spans="1:26" x14ac:dyDescent="0.2">
      <c r="A160" s="53"/>
      <c r="B160" s="19"/>
      <c r="C160" s="40"/>
      <c r="D160" s="40"/>
      <c r="E160" s="40" t="s">
        <v>134</v>
      </c>
      <c r="F160" s="40" t="s">
        <v>132</v>
      </c>
      <c r="G160" s="40">
        <f>+H153+I153+J153+K153+L153+M153+N153+O153+P153+Q153+R153+S153+T153</f>
        <v>0</v>
      </c>
      <c r="H160" s="19">
        <f>+H153</f>
        <v>0</v>
      </c>
      <c r="I160" s="19">
        <f t="shared" ref="I160:T160" si="24">+I153</f>
        <v>0</v>
      </c>
      <c r="J160" s="19">
        <f t="shared" si="24"/>
        <v>0</v>
      </c>
      <c r="K160" s="19">
        <f t="shared" si="24"/>
        <v>0</v>
      </c>
      <c r="L160" s="19">
        <f t="shared" si="24"/>
        <v>0</v>
      </c>
      <c r="M160" s="19">
        <f t="shared" si="24"/>
        <v>0</v>
      </c>
      <c r="N160" s="19">
        <f t="shared" si="24"/>
        <v>0</v>
      </c>
      <c r="O160" s="19">
        <f t="shared" si="24"/>
        <v>0</v>
      </c>
      <c r="P160" s="19">
        <f t="shared" si="24"/>
        <v>0</v>
      </c>
      <c r="Q160" s="19">
        <f t="shared" si="24"/>
        <v>0</v>
      </c>
      <c r="R160" s="19">
        <f t="shared" si="24"/>
        <v>0</v>
      </c>
      <c r="S160" s="19">
        <f t="shared" si="24"/>
        <v>0</v>
      </c>
      <c r="T160" s="19">
        <f t="shared" si="24"/>
        <v>0</v>
      </c>
    </row>
    <row r="161" spans="1:20" x14ac:dyDescent="0.2">
      <c r="A161" s="53"/>
      <c r="B161" s="19"/>
      <c r="C161" s="40"/>
      <c r="D161" s="40"/>
      <c r="E161" s="40" t="s">
        <v>134</v>
      </c>
      <c r="F161" s="40" t="s">
        <v>133</v>
      </c>
      <c r="G161" s="112" t="e">
        <f>G160/$G$160</f>
        <v>#DIV/0!</v>
      </c>
      <c r="H161" s="112" t="e">
        <f t="shared" ref="H161:T161" si="25">H160/$G$160</f>
        <v>#DIV/0!</v>
      </c>
      <c r="I161" s="112" t="e">
        <f t="shared" si="25"/>
        <v>#DIV/0!</v>
      </c>
      <c r="J161" s="112" t="e">
        <f t="shared" si="25"/>
        <v>#DIV/0!</v>
      </c>
      <c r="K161" s="112" t="e">
        <f t="shared" si="25"/>
        <v>#DIV/0!</v>
      </c>
      <c r="L161" s="112" t="e">
        <f t="shared" si="25"/>
        <v>#DIV/0!</v>
      </c>
      <c r="M161" s="112" t="e">
        <f t="shared" si="25"/>
        <v>#DIV/0!</v>
      </c>
      <c r="N161" s="112" t="e">
        <f t="shared" si="25"/>
        <v>#DIV/0!</v>
      </c>
      <c r="O161" s="113" t="e">
        <f t="shared" si="25"/>
        <v>#DIV/0!</v>
      </c>
      <c r="P161" s="112" t="e">
        <f t="shared" si="25"/>
        <v>#DIV/0!</v>
      </c>
      <c r="Q161" s="112" t="e">
        <f t="shared" si="25"/>
        <v>#DIV/0!</v>
      </c>
      <c r="R161" s="112" t="e">
        <f t="shared" si="25"/>
        <v>#DIV/0!</v>
      </c>
      <c r="S161" s="112" t="e">
        <f t="shared" si="25"/>
        <v>#DIV/0!</v>
      </c>
      <c r="T161" s="112" t="e">
        <f t="shared" si="25"/>
        <v>#DIV/0!</v>
      </c>
    </row>
    <row r="162" spans="1:20" x14ac:dyDescent="0.2">
      <c r="A162" s="53"/>
      <c r="B162" s="19"/>
      <c r="C162" s="40"/>
      <c r="D162" s="40"/>
      <c r="E162" s="40" t="s">
        <v>134</v>
      </c>
    </row>
    <row r="163" spans="1:20" x14ac:dyDescent="0.2">
      <c r="A163" s="53"/>
      <c r="B163" s="19"/>
      <c r="C163" s="40"/>
      <c r="D163" s="40"/>
      <c r="E163" s="40" t="s">
        <v>134</v>
      </c>
    </row>
    <row r="164" spans="1:20" ht="13.5" thickBot="1" x14ac:dyDescent="0.25">
      <c r="A164" s="53"/>
      <c r="B164" s="19"/>
      <c r="C164" s="40"/>
      <c r="D164" s="40"/>
      <c r="E164" s="40" t="s">
        <v>134</v>
      </c>
    </row>
    <row r="165" spans="1:20" ht="13.5" thickBot="1" x14ac:dyDescent="0.25">
      <c r="A165" s="53"/>
      <c r="B165" s="19"/>
      <c r="C165" s="40"/>
      <c r="D165" s="40"/>
      <c r="G165" s="114"/>
    </row>
    <row r="166" spans="1:20" x14ac:dyDescent="0.2">
      <c r="A166" s="53"/>
      <c r="B166" s="19"/>
      <c r="C166" s="40"/>
      <c r="D166" s="40"/>
    </row>
    <row r="167" spans="1:20" x14ac:dyDescent="0.2">
      <c r="A167" s="53"/>
      <c r="B167" s="19"/>
      <c r="C167" s="40"/>
      <c r="D167" s="40"/>
    </row>
    <row r="168" spans="1:20" x14ac:dyDescent="0.2">
      <c r="A168" s="53"/>
      <c r="B168" s="19"/>
      <c r="C168" s="40"/>
      <c r="D168" s="40"/>
    </row>
    <row r="169" spans="1:20" x14ac:dyDescent="0.2">
      <c r="A169" s="53"/>
      <c r="B169" s="19"/>
      <c r="C169" s="40"/>
      <c r="D169" s="40"/>
    </row>
    <row r="170" spans="1:20" x14ac:dyDescent="0.2">
      <c r="A170" s="53"/>
      <c r="B170" s="19"/>
      <c r="C170" s="40"/>
      <c r="D170" s="40"/>
    </row>
    <row r="171" spans="1:20" x14ac:dyDescent="0.2">
      <c r="A171" s="53"/>
      <c r="B171" s="19"/>
      <c r="C171" s="40"/>
      <c r="D171" s="40"/>
    </row>
    <row r="172" spans="1:20" x14ac:dyDescent="0.2">
      <c r="A172" s="53"/>
      <c r="B172" s="19"/>
      <c r="C172" s="40"/>
      <c r="D172" s="40"/>
    </row>
    <row r="173" spans="1:20" x14ac:dyDescent="0.2">
      <c r="A173" s="53"/>
      <c r="B173" s="19"/>
      <c r="C173" s="40"/>
      <c r="D173" s="40"/>
    </row>
    <row r="174" spans="1:20" x14ac:dyDescent="0.2">
      <c r="A174" s="53"/>
      <c r="B174" s="19"/>
      <c r="C174" s="40"/>
      <c r="D174" s="40"/>
    </row>
    <row r="175" spans="1:20" x14ac:dyDescent="0.2">
      <c r="A175" s="53"/>
      <c r="B175" s="19"/>
      <c r="C175" s="40"/>
      <c r="D175" s="40"/>
    </row>
    <row r="176" spans="1:20" x14ac:dyDescent="0.2">
      <c r="A176" s="53"/>
      <c r="B176" s="19"/>
      <c r="C176" s="40"/>
      <c r="D176" s="40"/>
    </row>
    <row r="177" spans="1:4" x14ac:dyDescent="0.2">
      <c r="A177" s="53"/>
      <c r="B177" s="19"/>
      <c r="C177" s="40"/>
      <c r="D177" s="40"/>
    </row>
    <row r="178" spans="1:4" x14ac:dyDescent="0.2">
      <c r="A178" s="53"/>
      <c r="B178" s="19"/>
      <c r="C178" s="40"/>
      <c r="D178" s="40"/>
    </row>
    <row r="179" spans="1:4" x14ac:dyDescent="0.2">
      <c r="A179" s="53"/>
      <c r="B179" s="19"/>
      <c r="C179" s="40"/>
      <c r="D179" s="40"/>
    </row>
    <row r="180" spans="1:4" x14ac:dyDescent="0.2">
      <c r="A180" s="53"/>
      <c r="B180" s="19"/>
      <c r="C180" s="40"/>
      <c r="D180" s="40"/>
    </row>
    <row r="181" spans="1:4" x14ac:dyDescent="0.2">
      <c r="A181" s="53"/>
      <c r="B181" s="19"/>
      <c r="C181" s="40"/>
      <c r="D181" s="40"/>
    </row>
    <row r="182" spans="1:4" x14ac:dyDescent="0.2">
      <c r="A182" s="53"/>
      <c r="B182" s="19"/>
      <c r="C182" s="40"/>
      <c r="D182" s="40"/>
    </row>
    <row r="183" spans="1:4" x14ac:dyDescent="0.2">
      <c r="A183" s="53"/>
      <c r="B183" s="19"/>
      <c r="C183" s="40"/>
      <c r="D183" s="40"/>
    </row>
    <row r="184" spans="1:4" x14ac:dyDescent="0.2">
      <c r="A184" s="53"/>
      <c r="B184" s="19"/>
      <c r="C184" s="40"/>
      <c r="D184" s="40"/>
    </row>
    <row r="185" spans="1:4" x14ac:dyDescent="0.2">
      <c r="A185" s="53"/>
      <c r="B185" s="19"/>
      <c r="C185" s="40"/>
      <c r="D185" s="40"/>
    </row>
    <row r="186" spans="1:4" x14ac:dyDescent="0.2">
      <c r="A186" s="53"/>
      <c r="B186" s="19"/>
      <c r="C186" s="40"/>
      <c r="D186" s="40"/>
    </row>
    <row r="187" spans="1:4" x14ac:dyDescent="0.2">
      <c r="A187" s="53"/>
      <c r="B187" s="19"/>
      <c r="C187" s="40"/>
      <c r="D187" s="40"/>
    </row>
    <row r="188" spans="1:4" x14ac:dyDescent="0.2">
      <c r="A188" s="53"/>
      <c r="B188" s="19"/>
      <c r="C188" s="40"/>
      <c r="D188" s="40"/>
    </row>
    <row r="189" spans="1:4" x14ac:dyDescent="0.2">
      <c r="A189" s="53"/>
      <c r="B189" s="19"/>
      <c r="C189" s="40"/>
      <c r="D189" s="40"/>
    </row>
    <row r="190" spans="1:4" x14ac:dyDescent="0.2">
      <c r="A190" s="53"/>
      <c r="B190" s="19"/>
      <c r="C190" s="40"/>
      <c r="D190" s="40"/>
    </row>
    <row r="191" spans="1:4" x14ac:dyDescent="0.2">
      <c r="A191" s="53"/>
      <c r="B191" s="19"/>
      <c r="C191" s="40"/>
      <c r="D191" s="40"/>
    </row>
    <row r="192" spans="1:4" x14ac:dyDescent="0.2">
      <c r="A192" s="53"/>
      <c r="B192" s="19"/>
      <c r="C192" s="40"/>
      <c r="D192" s="40"/>
    </row>
    <row r="193" spans="1:7" s="19" customFormat="1" x14ac:dyDescent="0.2">
      <c r="A193" s="53"/>
      <c r="C193" s="40"/>
      <c r="D193" s="40"/>
      <c r="E193" s="40"/>
      <c r="F193" s="40"/>
      <c r="G193" s="40"/>
    </row>
    <row r="194" spans="1:7" s="19" customFormat="1" x14ac:dyDescent="0.2">
      <c r="A194" s="53"/>
      <c r="C194" s="40"/>
      <c r="D194" s="40"/>
      <c r="E194" s="40"/>
      <c r="F194" s="40"/>
      <c r="G194" s="40"/>
    </row>
    <row r="195" spans="1:7" s="19" customFormat="1" x14ac:dyDescent="0.2">
      <c r="A195" s="53"/>
      <c r="C195" s="40"/>
      <c r="D195" s="40"/>
      <c r="E195" s="40"/>
      <c r="F195" s="40"/>
      <c r="G195" s="40"/>
    </row>
    <row r="196" spans="1:7" s="19" customFormat="1" x14ac:dyDescent="0.2">
      <c r="A196" s="53"/>
      <c r="C196" s="40"/>
      <c r="D196" s="40"/>
      <c r="E196" s="40"/>
      <c r="F196" s="40"/>
      <c r="G196" s="40"/>
    </row>
    <row r="197" spans="1:7" s="19" customFormat="1" x14ac:dyDescent="0.2">
      <c r="A197" s="53"/>
      <c r="C197" s="40"/>
      <c r="D197" s="40"/>
      <c r="E197" s="40"/>
      <c r="F197" s="40"/>
      <c r="G197" s="40"/>
    </row>
    <row r="198" spans="1:7" s="19" customFormat="1" x14ac:dyDescent="0.2">
      <c r="A198" s="53"/>
      <c r="C198" s="40"/>
      <c r="D198" s="40"/>
      <c r="E198" s="40"/>
      <c r="F198" s="40"/>
      <c r="G198" s="40"/>
    </row>
    <row r="199" spans="1:7" s="19" customFormat="1" x14ac:dyDescent="0.2">
      <c r="A199" s="53"/>
      <c r="C199" s="40"/>
      <c r="D199" s="40"/>
      <c r="E199" s="40"/>
      <c r="F199" s="40"/>
      <c r="G199" s="40"/>
    </row>
    <row r="200" spans="1:7" s="19" customFormat="1" x14ac:dyDescent="0.2">
      <c r="A200" s="53"/>
      <c r="C200" s="40"/>
      <c r="D200" s="40"/>
      <c r="E200" s="40"/>
      <c r="F200" s="40"/>
      <c r="G200" s="40"/>
    </row>
    <row r="201" spans="1:7" s="19" customFormat="1" x14ac:dyDescent="0.2">
      <c r="A201" s="53"/>
      <c r="C201" s="40"/>
      <c r="D201" s="40"/>
      <c r="E201" s="40"/>
      <c r="F201" s="40"/>
      <c r="G201" s="40"/>
    </row>
    <row r="202" spans="1:7" s="19" customFormat="1" x14ac:dyDescent="0.2">
      <c r="A202" s="53"/>
      <c r="C202" s="40"/>
      <c r="D202" s="40"/>
      <c r="E202" s="40"/>
      <c r="F202" s="40"/>
      <c r="G202" s="40"/>
    </row>
    <row r="203" spans="1:7" s="19" customFormat="1" x14ac:dyDescent="0.2">
      <c r="A203" s="53"/>
      <c r="C203" s="40"/>
      <c r="D203" s="40"/>
      <c r="E203" s="40"/>
      <c r="F203" s="40"/>
      <c r="G203" s="40"/>
    </row>
    <row r="204" spans="1:7" s="19" customFormat="1" x14ac:dyDescent="0.2">
      <c r="A204" s="53"/>
      <c r="C204" s="40"/>
      <c r="D204" s="40"/>
      <c r="E204" s="40"/>
      <c r="F204" s="40"/>
      <c r="G204" s="40"/>
    </row>
    <row r="205" spans="1:7" s="19" customFormat="1" x14ac:dyDescent="0.2">
      <c r="A205" s="53"/>
      <c r="C205" s="40"/>
      <c r="D205" s="40"/>
      <c r="E205" s="40"/>
      <c r="F205" s="40"/>
      <c r="G205" s="40"/>
    </row>
    <row r="206" spans="1:7" s="19" customFormat="1" x14ac:dyDescent="0.2">
      <c r="A206" s="53"/>
      <c r="C206" s="40"/>
      <c r="D206" s="40"/>
      <c r="E206" s="40"/>
      <c r="F206" s="40"/>
      <c r="G206" s="40"/>
    </row>
    <row r="207" spans="1:7" s="19" customFormat="1" x14ac:dyDescent="0.2">
      <c r="A207" s="53"/>
      <c r="C207" s="40"/>
      <c r="D207" s="40"/>
      <c r="E207" s="40"/>
      <c r="F207" s="40"/>
      <c r="G207" s="40"/>
    </row>
  </sheetData>
  <mergeCells count="4">
    <mergeCell ref="F3:M3"/>
    <mergeCell ref="B5:D5"/>
    <mergeCell ref="F9:M9"/>
    <mergeCell ref="F15:M15"/>
  </mergeCells>
  <conditionalFormatting sqref="H19:K19 K18 F18:G18 I18">
    <cfRule type="cellIs" dxfId="2" priority="1" stopIfTrue="1" operator="lessThan">
      <formula>0.0001</formula>
    </cfRule>
  </conditionalFormatting>
  <conditionalFormatting sqref="F17:M17 F19:G19 L19:M19">
    <cfRule type="cellIs" dxfId="1" priority="2" stopIfTrue="1" operator="lessThan">
      <formula>0.005</formula>
    </cfRule>
    <cfRule type="cellIs" dxfId="0" priority="3" stopIfTrue="1" operator="greaterThan">
      <formula>0.005</formula>
    </cfRule>
  </conditionalFormatting>
  <dataValidations count="2">
    <dataValidation type="list" allowBlank="1" showInputMessage="1" showErrorMessage="1" sqref="B7:B18">
      <formula1>$Z$2:$Z$128</formula1>
    </dataValidation>
    <dataValidation type="list" allowBlank="1" showInputMessage="1" showErrorMessage="1" sqref="O14">
      <formula1>#REF!</formula1>
    </dataValidation>
  </dataValidations>
  <pageMargins left="0.7" right="0.7" top="0.75" bottom="0.75" header="0.3" footer="0.3"/>
  <pageSetup scale="70" orientation="portrait" horizontalDpi="4294967295" verticalDpi="4294967293" r:id="rId1"/>
  <headerFooter alignWithMargins="0">
    <oddFooter>&amp;C&amp;F</oddFooter>
  </headerFooter>
  <drawing r:id="rId2"/>
  <legacyDrawing r:id="rId3"/>
  <controls>
    <mc:AlternateContent xmlns:mc="http://schemas.openxmlformats.org/markup-compatibility/2006">
      <mc:Choice Requires="x14">
        <control shapeId="69634" r:id="rId4" name="CheckBox1">
          <controlPr autoLine="0" linkedCell="M2" r:id="rId5">
            <anchor moveWithCells="1">
              <from>
                <xdr:col>10</xdr:col>
                <xdr:colOff>333375</xdr:colOff>
                <xdr:row>1</xdr:row>
                <xdr:rowOff>38100</xdr:rowOff>
              </from>
              <to>
                <xdr:col>13</xdr:col>
                <xdr:colOff>152400</xdr:colOff>
                <xdr:row>1</xdr:row>
                <xdr:rowOff>314325</xdr:rowOff>
              </to>
            </anchor>
          </controlPr>
        </control>
      </mc:Choice>
      <mc:Fallback>
        <control shapeId="69634" r:id="rId4" name="CheckBox1"/>
      </mc:Fallback>
    </mc:AlternateContent>
    <mc:AlternateContent xmlns:mc="http://schemas.openxmlformats.org/markup-compatibility/2006">
      <mc:Choice Requires="x14">
        <control shapeId="69635" r:id="rId6" name="CheckBox2">
          <controlPr autoLine="0" linkedCell="J2" r:id="rId7">
            <anchor moveWithCells="1">
              <from>
                <xdr:col>8</xdr:col>
                <xdr:colOff>66675</xdr:colOff>
                <xdr:row>1</xdr:row>
                <xdr:rowOff>47625</xdr:rowOff>
              </from>
              <to>
                <xdr:col>10</xdr:col>
                <xdr:colOff>371475</xdr:colOff>
                <xdr:row>1</xdr:row>
                <xdr:rowOff>304800</xdr:rowOff>
              </to>
            </anchor>
          </controlPr>
        </control>
      </mc:Choice>
      <mc:Fallback>
        <control shapeId="69635" r:id="rId6" name="CheckBox2"/>
      </mc:Fallback>
    </mc:AlternateContent>
    <mc:AlternateContent xmlns:mc="http://schemas.openxmlformats.org/markup-compatibility/2006">
      <mc:Choice Requires="x14">
        <control shapeId="69633" r:id="rId8" name="Button 1">
          <controlPr defaultSize="0" print="0" autoFill="0" autoPict="0" macro="[0]!FitScreen1">
            <anchor moveWithCells="1">
              <from>
                <xdr:col>6</xdr:col>
                <xdr:colOff>257175</xdr:colOff>
                <xdr:row>0</xdr:row>
                <xdr:rowOff>38100</xdr:rowOff>
              </from>
              <to>
                <xdr:col>7</xdr:col>
                <xdr:colOff>371475</xdr:colOff>
                <xdr:row>1</xdr:row>
                <xdr:rowOff>295275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04"/>
  <sheetViews>
    <sheetView zoomScaleNormal="196" workbookViewId="0">
      <pane ySplit="4" topLeftCell="A11" activePane="bottomLeft" state="frozen"/>
      <selection pane="bottomLeft" activeCell="A3" sqref="A3"/>
    </sheetView>
  </sheetViews>
  <sheetFormatPr defaultColWidth="10.28515625" defaultRowHeight="12.75" x14ac:dyDescent="0.2"/>
  <cols>
    <col min="1" max="1" width="16.85546875" style="1" customWidth="1"/>
    <col min="2" max="2" width="7.5703125" style="1" bestFit="1" customWidth="1"/>
    <col min="3" max="3" width="8.28515625" style="1" bestFit="1" customWidth="1"/>
    <col min="4" max="7" width="7" style="1" bestFit="1" customWidth="1"/>
    <col min="8" max="8" width="6.5703125" style="1" bestFit="1" customWidth="1"/>
    <col min="9" max="18" width="7" style="1" bestFit="1" customWidth="1"/>
    <col min="19" max="19" width="27.7109375" style="1" customWidth="1"/>
    <col min="20" max="16384" width="10.28515625" style="1"/>
  </cols>
  <sheetData>
    <row r="1" spans="1:19" ht="18" x14ac:dyDescent="0.25">
      <c r="A1" s="2" t="s">
        <v>39</v>
      </c>
    </row>
    <row r="2" spans="1:19" x14ac:dyDescent="0.2">
      <c r="A2" s="214" t="s">
        <v>157</v>
      </c>
      <c r="B2" s="31"/>
      <c r="C2" s="31"/>
      <c r="D2" s="31"/>
      <c r="E2" s="31"/>
      <c r="F2" s="31"/>
    </row>
    <row r="4" spans="1:19" x14ac:dyDescent="0.2">
      <c r="A4" s="3" t="s">
        <v>0</v>
      </c>
      <c r="B4" s="4" t="s">
        <v>1</v>
      </c>
      <c r="C4" s="4" t="s">
        <v>40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7</v>
      </c>
      <c r="I4" s="4" t="s">
        <v>6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3" t="s">
        <v>17</v>
      </c>
    </row>
    <row r="5" spans="1:19" x14ac:dyDescent="0.2">
      <c r="A5" s="5" t="s">
        <v>10</v>
      </c>
      <c r="B5" s="1">
        <v>101.94</v>
      </c>
      <c r="C5" s="1">
        <f t="shared" ref="C5:C11" si="0">SUM(D5:R5)</f>
        <v>100</v>
      </c>
      <c r="L5" s="1">
        <v>100</v>
      </c>
      <c r="S5" s="5"/>
    </row>
    <row r="6" spans="1:19" x14ac:dyDescent="0.2">
      <c r="A6" s="1" t="s">
        <v>142</v>
      </c>
      <c r="B6" s="1">
        <v>462.93</v>
      </c>
      <c r="C6" s="1">
        <f t="shared" si="0"/>
        <v>99.990000000000009</v>
      </c>
      <c r="D6" s="1">
        <v>3.2</v>
      </c>
      <c r="E6" s="1">
        <v>0.8</v>
      </c>
      <c r="G6" s="1">
        <v>5.81</v>
      </c>
      <c r="I6" s="1">
        <v>2.71</v>
      </c>
      <c r="L6" s="1">
        <v>14.63</v>
      </c>
      <c r="M6" s="1">
        <v>5.21</v>
      </c>
      <c r="O6" s="1">
        <v>57.82</v>
      </c>
      <c r="P6" s="1">
        <v>0.4</v>
      </c>
      <c r="Q6" s="1">
        <v>9.41</v>
      </c>
      <c r="S6" s="1" t="s">
        <v>111</v>
      </c>
    </row>
    <row r="7" spans="1:19" x14ac:dyDescent="0.2">
      <c r="A7" s="1" t="s">
        <v>87</v>
      </c>
      <c r="B7" s="1">
        <v>155.94</v>
      </c>
      <c r="C7" s="1">
        <f t="shared" si="0"/>
        <v>100</v>
      </c>
      <c r="L7" s="1">
        <v>65.371296652558669</v>
      </c>
      <c r="R7" s="1">
        <v>34.628703347441324</v>
      </c>
    </row>
    <row r="8" spans="1:19" x14ac:dyDescent="0.2">
      <c r="A8" s="5" t="s">
        <v>12</v>
      </c>
      <c r="C8" s="1">
        <f t="shared" si="0"/>
        <v>100</v>
      </c>
      <c r="N8" s="1">
        <v>100</v>
      </c>
      <c r="S8" s="5"/>
    </row>
    <row r="9" spans="1:19" x14ac:dyDescent="0.2">
      <c r="A9" s="5" t="s">
        <v>22</v>
      </c>
      <c r="C9" s="1">
        <f t="shared" si="0"/>
        <v>100</v>
      </c>
      <c r="K9" s="1">
        <v>77.7</v>
      </c>
      <c r="Q9" s="1">
        <v>22.3</v>
      </c>
      <c r="S9" s="5"/>
    </row>
    <row r="10" spans="1:19" x14ac:dyDescent="0.2">
      <c r="A10" s="5" t="s">
        <v>9</v>
      </c>
      <c r="C10" s="1">
        <f t="shared" si="0"/>
        <v>100</v>
      </c>
      <c r="K10" s="1">
        <v>100</v>
      </c>
      <c r="S10" s="5"/>
    </row>
    <row r="11" spans="1:19" x14ac:dyDescent="0.2">
      <c r="A11" s="6" t="s">
        <v>143</v>
      </c>
      <c r="C11" s="1">
        <f t="shared" si="0"/>
        <v>96.11</v>
      </c>
      <c r="D11" s="1">
        <v>2</v>
      </c>
      <c r="G11" s="1">
        <v>0.3</v>
      </c>
      <c r="I11" s="1">
        <v>0.8</v>
      </c>
      <c r="L11" s="1">
        <v>10</v>
      </c>
      <c r="M11" s="1">
        <v>15</v>
      </c>
      <c r="O11" s="1">
        <v>59</v>
      </c>
      <c r="P11" s="1">
        <v>0.7</v>
      </c>
      <c r="Q11" s="1">
        <v>8.31</v>
      </c>
      <c r="S11" s="6" t="s">
        <v>111</v>
      </c>
    </row>
    <row r="12" spans="1:19" x14ac:dyDescent="0.2">
      <c r="A12" s="30" t="s">
        <v>140</v>
      </c>
      <c r="C12" s="1">
        <f>SUM(D10:R10)</f>
        <v>100</v>
      </c>
      <c r="E12" s="1">
        <v>3.2</v>
      </c>
      <c r="F12" s="1">
        <v>1.3</v>
      </c>
      <c r="G12" s="1">
        <v>5.5</v>
      </c>
      <c r="I12" s="1">
        <v>22.7</v>
      </c>
      <c r="L12" s="1">
        <v>0.8</v>
      </c>
      <c r="M12" s="1">
        <v>0.3</v>
      </c>
      <c r="O12" s="1">
        <v>53.2</v>
      </c>
      <c r="Q12" s="1">
        <v>12.7</v>
      </c>
      <c r="S12" s="5" t="s">
        <v>111</v>
      </c>
    </row>
    <row r="13" spans="1:19" x14ac:dyDescent="0.2">
      <c r="A13" s="1" t="s">
        <v>82</v>
      </c>
      <c r="C13" s="1">
        <f>SUM(D13:R13)</f>
        <v>99.36999999999999</v>
      </c>
      <c r="D13" s="1">
        <v>2.9</v>
      </c>
      <c r="G13" s="1">
        <v>0.46</v>
      </c>
      <c r="I13" s="1">
        <v>2.2599999999999998</v>
      </c>
      <c r="L13" s="1">
        <v>20.7</v>
      </c>
      <c r="M13" s="1">
        <v>3.47</v>
      </c>
      <c r="O13" s="1">
        <v>64.319999999999993</v>
      </c>
      <c r="P13" s="1">
        <v>0.11</v>
      </c>
      <c r="R13" s="1">
        <v>5.15</v>
      </c>
    </row>
    <row r="14" spans="1:19" x14ac:dyDescent="0.2">
      <c r="A14" s="1" t="s">
        <v>52</v>
      </c>
      <c r="C14" s="1">
        <f>SUM(D14:R14)</f>
        <v>55.82</v>
      </c>
      <c r="G14" s="1">
        <v>55.82</v>
      </c>
      <c r="S14" s="1" t="s">
        <v>111</v>
      </c>
    </row>
    <row r="15" spans="1:19" x14ac:dyDescent="0.2">
      <c r="A15" s="5" t="s">
        <v>122</v>
      </c>
      <c r="C15" s="1">
        <f>SUM(D15:R15)</f>
        <v>100</v>
      </c>
      <c r="E15" s="1">
        <v>16.260000000000002</v>
      </c>
      <c r="N15" s="1">
        <v>36.53</v>
      </c>
      <c r="R15" s="1">
        <v>47.21</v>
      </c>
      <c r="S15" s="5"/>
    </row>
    <row r="16" spans="1:19" x14ac:dyDescent="0.2">
      <c r="A16" s="1" t="s">
        <v>5</v>
      </c>
      <c r="C16" s="1">
        <f>SUM(D16:R16)</f>
        <v>100</v>
      </c>
      <c r="G16" s="1">
        <v>100</v>
      </c>
    </row>
    <row r="17" spans="1:19" x14ac:dyDescent="0.2">
      <c r="A17" s="6" t="s">
        <v>105</v>
      </c>
    </row>
    <row r="18" spans="1:19" x14ac:dyDescent="0.2">
      <c r="A18" s="1" t="s">
        <v>127</v>
      </c>
      <c r="C18" s="1">
        <f>SUM(D18:R18)</f>
        <v>0</v>
      </c>
    </row>
    <row r="19" spans="1:19" x14ac:dyDescent="0.2">
      <c r="A19" s="5" t="s">
        <v>104</v>
      </c>
      <c r="S19" s="5"/>
    </row>
    <row r="20" spans="1:19" x14ac:dyDescent="0.2">
      <c r="A20" s="1" t="s">
        <v>19</v>
      </c>
      <c r="B20" s="1">
        <v>411</v>
      </c>
      <c r="C20" s="1">
        <f>SUM(D20:R20)</f>
        <v>100</v>
      </c>
      <c r="G20" s="1">
        <v>27.3</v>
      </c>
      <c r="N20" s="1">
        <v>50.8</v>
      </c>
      <c r="R20" s="1">
        <v>21.9</v>
      </c>
    </row>
    <row r="21" spans="1:19" x14ac:dyDescent="0.2">
      <c r="A21" s="5" t="s">
        <v>123</v>
      </c>
      <c r="C21" s="1">
        <f>SUM(D21:R21)</f>
        <v>0</v>
      </c>
      <c r="S21" s="5"/>
    </row>
    <row r="22" spans="1:19" x14ac:dyDescent="0.2">
      <c r="A22" s="1" t="s">
        <v>72</v>
      </c>
      <c r="C22" s="1">
        <f>SUM(D22:R22)</f>
        <v>98.78</v>
      </c>
      <c r="D22" s="1">
        <v>3.8</v>
      </c>
      <c r="E22" s="1">
        <v>4</v>
      </c>
      <c r="G22" s="1">
        <v>2.96</v>
      </c>
      <c r="I22" s="1">
        <v>0.09</v>
      </c>
      <c r="L22" s="1">
        <v>14.9</v>
      </c>
      <c r="M22" s="1">
        <v>0.13</v>
      </c>
      <c r="O22" s="1">
        <v>72.900000000000006</v>
      </c>
    </row>
    <row r="23" spans="1:19" x14ac:dyDescent="0.2">
      <c r="A23" s="1" t="s">
        <v>66</v>
      </c>
      <c r="B23" s="1">
        <v>726.06</v>
      </c>
      <c r="C23" s="1">
        <f>SUM(D23:R23)</f>
        <v>98.7</v>
      </c>
      <c r="D23" s="1">
        <v>6.5</v>
      </c>
      <c r="E23" s="1">
        <v>2.2999999999999998</v>
      </c>
      <c r="G23" s="1">
        <v>1.6</v>
      </c>
      <c r="L23" s="1">
        <v>16.7</v>
      </c>
      <c r="M23" s="1">
        <v>0.2</v>
      </c>
      <c r="O23" s="1">
        <v>70.900000000000006</v>
      </c>
      <c r="P23" s="1">
        <v>0.5</v>
      </c>
      <c r="S23" s="1" t="s">
        <v>73</v>
      </c>
    </row>
    <row r="24" spans="1:19" x14ac:dyDescent="0.2">
      <c r="A24" s="1" t="s">
        <v>109</v>
      </c>
    </row>
    <row r="25" spans="1:19" x14ac:dyDescent="0.2">
      <c r="A25" s="1" t="s">
        <v>108</v>
      </c>
    </row>
    <row r="26" spans="1:19" x14ac:dyDescent="0.2">
      <c r="A26" s="30" t="s">
        <v>23</v>
      </c>
      <c r="B26" s="1">
        <v>618.82000000000005</v>
      </c>
      <c r="C26" s="1">
        <f t="shared" ref="C26:C64" si="1">SUM(D26:R26)</f>
        <v>100.00000000000001</v>
      </c>
      <c r="D26" s="1">
        <v>7</v>
      </c>
      <c r="E26" s="1">
        <v>3</v>
      </c>
      <c r="G26" s="1">
        <v>0.3</v>
      </c>
      <c r="I26" s="1">
        <v>0.01</v>
      </c>
      <c r="L26" s="1">
        <v>15</v>
      </c>
      <c r="M26" s="1">
        <v>0.15</v>
      </c>
      <c r="O26" s="1">
        <v>73.5</v>
      </c>
      <c r="Q26" s="1">
        <v>1.04</v>
      </c>
      <c r="S26" s="5" t="s">
        <v>144</v>
      </c>
    </row>
    <row r="27" spans="1:19" x14ac:dyDescent="0.2">
      <c r="A27" s="1" t="s">
        <v>145</v>
      </c>
      <c r="C27" s="1">
        <f t="shared" si="1"/>
        <v>99.7</v>
      </c>
      <c r="D27" s="1">
        <v>10.1</v>
      </c>
      <c r="E27" s="1">
        <v>3</v>
      </c>
      <c r="G27" s="1">
        <v>0.3</v>
      </c>
      <c r="L27" s="1">
        <v>17.100000000000001</v>
      </c>
      <c r="M27" s="1">
        <v>0.2</v>
      </c>
      <c r="O27" s="1">
        <v>69</v>
      </c>
      <c r="S27" s="6" t="s">
        <v>146</v>
      </c>
    </row>
    <row r="28" spans="1:19" x14ac:dyDescent="0.2">
      <c r="A28" s="5" t="s">
        <v>83</v>
      </c>
      <c r="B28" s="1">
        <v>184.4</v>
      </c>
      <c r="C28" s="1">
        <f t="shared" si="1"/>
        <v>100</v>
      </c>
      <c r="G28" s="1">
        <v>30.49</v>
      </c>
      <c r="I28" s="1">
        <v>21.9</v>
      </c>
      <c r="Q28" s="1">
        <v>47.61</v>
      </c>
      <c r="S28" s="5" t="s">
        <v>111</v>
      </c>
    </row>
    <row r="29" spans="1:19" x14ac:dyDescent="0.2">
      <c r="A29" s="5" t="s">
        <v>24</v>
      </c>
      <c r="B29" s="1">
        <v>272.92</v>
      </c>
      <c r="C29" s="1">
        <f t="shared" si="1"/>
        <v>98.12</v>
      </c>
      <c r="D29" s="1">
        <v>0.33</v>
      </c>
      <c r="E29" s="1">
        <v>0.06</v>
      </c>
      <c r="G29" s="1">
        <v>0.18</v>
      </c>
      <c r="I29" s="1">
        <v>0.1</v>
      </c>
      <c r="L29" s="1">
        <v>37.36</v>
      </c>
      <c r="M29" s="1">
        <v>0.79</v>
      </c>
      <c r="O29" s="1">
        <v>45.73</v>
      </c>
      <c r="P29" s="1">
        <v>0.37</v>
      </c>
      <c r="Q29" s="1">
        <v>11.799999999999999</v>
      </c>
      <c r="R29" s="1">
        <v>1.4</v>
      </c>
      <c r="S29" s="1" t="s">
        <v>111</v>
      </c>
    </row>
    <row r="30" spans="1:19" x14ac:dyDescent="0.2">
      <c r="A30" s="5" t="s">
        <v>147</v>
      </c>
      <c r="C30" s="1">
        <f t="shared" si="1"/>
        <v>100</v>
      </c>
      <c r="L30" s="1">
        <v>45.9</v>
      </c>
      <c r="O30" s="1">
        <v>54.1</v>
      </c>
      <c r="S30" s="1" t="s">
        <v>111</v>
      </c>
    </row>
    <row r="31" spans="1:19" x14ac:dyDescent="0.2">
      <c r="A31" s="5" t="s">
        <v>11</v>
      </c>
      <c r="C31" s="1">
        <f t="shared" si="1"/>
        <v>100</v>
      </c>
      <c r="M31" s="1">
        <v>100</v>
      </c>
      <c r="S31" s="5"/>
    </row>
    <row r="32" spans="1:19" x14ac:dyDescent="0.2">
      <c r="A32" s="6" t="s">
        <v>54</v>
      </c>
      <c r="B32" s="1">
        <v>261.11</v>
      </c>
      <c r="C32" s="1">
        <f t="shared" si="1"/>
        <v>100</v>
      </c>
      <c r="D32" s="1">
        <v>2.36</v>
      </c>
      <c r="E32" s="1">
        <v>15.24</v>
      </c>
      <c r="G32" s="1">
        <v>6.29</v>
      </c>
      <c r="L32" s="1">
        <v>3.7</v>
      </c>
      <c r="N32" s="1">
        <v>2.64</v>
      </c>
      <c r="O32" s="1">
        <v>69.77</v>
      </c>
      <c r="S32" s="6" t="s">
        <v>111</v>
      </c>
    </row>
    <row r="33" spans="1:19" x14ac:dyDescent="0.2">
      <c r="A33" s="5" t="s">
        <v>80</v>
      </c>
      <c r="B33" s="1">
        <v>274.12</v>
      </c>
      <c r="C33" s="1">
        <f t="shared" si="1"/>
        <v>100.05</v>
      </c>
      <c r="D33" s="1">
        <v>0.68</v>
      </c>
      <c r="E33" s="1">
        <v>6.4</v>
      </c>
      <c r="G33" s="1">
        <v>14.28</v>
      </c>
      <c r="L33" s="1">
        <v>10.01</v>
      </c>
      <c r="N33" s="1">
        <v>13.74</v>
      </c>
      <c r="O33" s="1">
        <v>54.94</v>
      </c>
      <c r="S33" s="5" t="s">
        <v>111</v>
      </c>
    </row>
    <row r="34" spans="1:19" x14ac:dyDescent="0.2">
      <c r="A34" s="1" t="s">
        <v>18</v>
      </c>
      <c r="B34" s="1">
        <v>195.57</v>
      </c>
      <c r="C34" s="1">
        <f t="shared" si="1"/>
        <v>100</v>
      </c>
      <c r="E34" s="1">
        <v>10.14</v>
      </c>
      <c r="G34" s="1">
        <v>19.510000000000002</v>
      </c>
      <c r="L34" s="1">
        <v>2</v>
      </c>
      <c r="N34" s="1">
        <v>22.79</v>
      </c>
      <c r="O34" s="1">
        <v>45.56</v>
      </c>
      <c r="S34" s="1" t="s">
        <v>111</v>
      </c>
    </row>
    <row r="35" spans="1:19" x14ac:dyDescent="0.2">
      <c r="A35" s="30" t="s">
        <v>110</v>
      </c>
      <c r="B35" s="1">
        <v>339.82</v>
      </c>
      <c r="C35" s="1">
        <f t="shared" si="1"/>
        <v>100</v>
      </c>
      <c r="E35" s="1">
        <v>5.69</v>
      </c>
      <c r="G35" s="1">
        <v>11.36</v>
      </c>
      <c r="L35" s="1">
        <v>11.98</v>
      </c>
      <c r="N35" s="1">
        <v>22.62</v>
      </c>
      <c r="O35" s="1">
        <v>48.35</v>
      </c>
      <c r="S35" s="30" t="s">
        <v>111</v>
      </c>
    </row>
    <row r="36" spans="1:19" x14ac:dyDescent="0.2">
      <c r="A36" s="6" t="s">
        <v>25</v>
      </c>
      <c r="B36" s="1">
        <v>60.06</v>
      </c>
      <c r="C36" s="1">
        <f t="shared" si="1"/>
        <v>100</v>
      </c>
      <c r="O36" s="1">
        <v>100</v>
      </c>
      <c r="S36" s="6" t="s">
        <v>111</v>
      </c>
    </row>
    <row r="37" spans="1:19" x14ac:dyDescent="0.2">
      <c r="A37" s="1" t="s">
        <v>67</v>
      </c>
      <c r="B37" s="1">
        <v>553.87</v>
      </c>
      <c r="C37" s="1">
        <f t="shared" si="1"/>
        <v>99.78</v>
      </c>
      <c r="D37" s="1">
        <v>10.8</v>
      </c>
      <c r="E37" s="1">
        <v>3.1</v>
      </c>
      <c r="G37" s="1">
        <v>0.8</v>
      </c>
      <c r="I37" s="1">
        <v>0.05</v>
      </c>
      <c r="L37" s="1">
        <v>18.5</v>
      </c>
      <c r="M37" s="1">
        <v>0.08</v>
      </c>
      <c r="O37" s="1">
        <v>66.3</v>
      </c>
      <c r="Q37" s="1">
        <v>0.15</v>
      </c>
      <c r="S37" s="1" t="s">
        <v>111</v>
      </c>
    </row>
    <row r="38" spans="1:19" x14ac:dyDescent="0.2">
      <c r="A38" s="1" t="s">
        <v>148</v>
      </c>
      <c r="B38" s="1">
        <v>560.75</v>
      </c>
      <c r="C38" s="1">
        <f t="shared" si="1"/>
        <v>99.820000000000007</v>
      </c>
      <c r="D38" s="1">
        <v>13.2</v>
      </c>
      <c r="E38" s="1">
        <v>1.52</v>
      </c>
      <c r="G38" s="1">
        <v>0.75</v>
      </c>
      <c r="L38" s="1">
        <v>18.2</v>
      </c>
      <c r="M38" s="1">
        <v>0.09</v>
      </c>
      <c r="O38" s="1">
        <v>65.900000000000006</v>
      </c>
      <c r="Q38" s="1">
        <v>0.16</v>
      </c>
      <c r="S38" s="1" t="s">
        <v>53</v>
      </c>
    </row>
    <row r="39" spans="1:19" x14ac:dyDescent="0.2">
      <c r="A39" s="1" t="s">
        <v>84</v>
      </c>
      <c r="B39" s="1">
        <v>199.15</v>
      </c>
      <c r="C39" s="1">
        <f t="shared" si="1"/>
        <v>100</v>
      </c>
      <c r="D39" s="1">
        <v>0.4</v>
      </c>
      <c r="E39" s="1">
        <v>4</v>
      </c>
      <c r="G39" s="1">
        <v>19.600000000000001</v>
      </c>
      <c r="I39" s="1">
        <v>3.5</v>
      </c>
      <c r="L39" s="1">
        <v>1</v>
      </c>
      <c r="M39" s="1">
        <v>0.4</v>
      </c>
      <c r="N39" s="1">
        <v>26.8</v>
      </c>
      <c r="O39" s="1">
        <v>14.8</v>
      </c>
      <c r="Q39" s="1">
        <v>29.5</v>
      </c>
      <c r="S39" s="1" t="s">
        <v>111</v>
      </c>
    </row>
    <row r="40" spans="1:19" x14ac:dyDescent="0.2">
      <c r="A40" s="5" t="s">
        <v>149</v>
      </c>
      <c r="C40" s="1">
        <f t="shared" si="1"/>
        <v>98.2</v>
      </c>
      <c r="E40" s="1">
        <v>2.9</v>
      </c>
      <c r="G40" s="1">
        <v>18.899999999999999</v>
      </c>
      <c r="L40" s="1">
        <v>7</v>
      </c>
      <c r="N40" s="1">
        <v>25.7</v>
      </c>
      <c r="O40" s="1">
        <v>21.2</v>
      </c>
      <c r="Q40" s="1">
        <v>22.5</v>
      </c>
      <c r="S40" s="5" t="s">
        <v>150</v>
      </c>
    </row>
    <row r="41" spans="1:19" x14ac:dyDescent="0.2">
      <c r="A41" s="1" t="s">
        <v>130</v>
      </c>
      <c r="C41" s="1">
        <f t="shared" si="1"/>
        <v>100.02000000000001</v>
      </c>
      <c r="E41" s="1">
        <v>3.77</v>
      </c>
      <c r="G41" s="1">
        <v>23</v>
      </c>
      <c r="H41" s="1">
        <v>0.45</v>
      </c>
      <c r="I41" s="1">
        <v>3.9</v>
      </c>
      <c r="L41" s="1">
        <v>1.7</v>
      </c>
      <c r="N41" s="1">
        <v>24.5</v>
      </c>
      <c r="O41" s="1">
        <v>11.8</v>
      </c>
      <c r="Q41" s="1">
        <v>30.9</v>
      </c>
      <c r="S41" s="1" t="s">
        <v>111</v>
      </c>
    </row>
    <row r="42" spans="1:19" x14ac:dyDescent="0.2">
      <c r="A42" s="5" t="s">
        <v>26</v>
      </c>
      <c r="B42" s="1">
        <v>353.77</v>
      </c>
      <c r="C42" s="1">
        <f t="shared" si="1"/>
        <v>99.98</v>
      </c>
      <c r="D42" s="1">
        <v>1.9</v>
      </c>
      <c r="E42" s="1">
        <v>0.2</v>
      </c>
      <c r="G42" s="1">
        <v>0.2</v>
      </c>
      <c r="I42" s="1">
        <v>0.48</v>
      </c>
      <c r="L42" s="1">
        <v>28.8</v>
      </c>
      <c r="M42" s="1">
        <v>1.4</v>
      </c>
      <c r="O42" s="1">
        <v>55.2</v>
      </c>
      <c r="P42" s="1">
        <v>1.8</v>
      </c>
      <c r="Q42" s="1">
        <v>10</v>
      </c>
      <c r="S42" s="5" t="s">
        <v>111</v>
      </c>
    </row>
    <row r="43" spans="1:19" x14ac:dyDescent="0.2">
      <c r="A43" s="1" t="s">
        <v>74</v>
      </c>
      <c r="B43" s="1">
        <v>271.38</v>
      </c>
      <c r="C43" s="1">
        <f t="shared" si="1"/>
        <v>100.14</v>
      </c>
      <c r="D43" s="1">
        <v>1.9</v>
      </c>
      <c r="E43" s="1">
        <v>0.1</v>
      </c>
      <c r="G43" s="1">
        <v>0.1</v>
      </c>
      <c r="I43" s="1">
        <v>0.3</v>
      </c>
      <c r="L43" s="1">
        <v>37</v>
      </c>
      <c r="M43" s="1">
        <v>0.7</v>
      </c>
      <c r="O43" s="1">
        <v>48</v>
      </c>
      <c r="P43" s="1">
        <v>0.03</v>
      </c>
      <c r="R43" s="1">
        <v>12.01</v>
      </c>
      <c r="S43" s="1" t="s">
        <v>111</v>
      </c>
    </row>
    <row r="44" spans="1:19" x14ac:dyDescent="0.2">
      <c r="A44" s="1" t="s">
        <v>62</v>
      </c>
      <c r="B44" s="1">
        <v>138.19999999999999</v>
      </c>
      <c r="C44" s="1">
        <f t="shared" si="1"/>
        <v>100</v>
      </c>
      <c r="D44" s="1">
        <v>68.154848046309695</v>
      </c>
      <c r="Q44" s="1">
        <v>31.845151953690305</v>
      </c>
    </row>
    <row r="45" spans="1:19" x14ac:dyDescent="0.2">
      <c r="A45" s="1" t="s">
        <v>2</v>
      </c>
      <c r="C45" s="1">
        <f t="shared" si="1"/>
        <v>100</v>
      </c>
      <c r="D45" s="1">
        <v>100</v>
      </c>
    </row>
    <row r="46" spans="1:19" x14ac:dyDescent="0.2">
      <c r="A46" s="5" t="s">
        <v>27</v>
      </c>
      <c r="B46" s="7">
        <v>253.67</v>
      </c>
      <c r="C46" s="1">
        <f t="shared" si="1"/>
        <v>100</v>
      </c>
      <c r="L46" s="1">
        <v>40.21</v>
      </c>
      <c r="O46" s="1">
        <v>47.29</v>
      </c>
      <c r="R46" s="1">
        <v>12.5</v>
      </c>
      <c r="S46" s="5" t="s">
        <v>111</v>
      </c>
    </row>
    <row r="47" spans="1:19" x14ac:dyDescent="0.2">
      <c r="A47" s="5" t="s">
        <v>37</v>
      </c>
      <c r="C47" s="1">
        <f t="shared" si="1"/>
        <v>100</v>
      </c>
      <c r="D47" s="1">
        <v>16.920000000000002</v>
      </c>
      <c r="L47" s="1">
        <v>18.32</v>
      </c>
      <c r="O47" s="1">
        <v>64.760000000000005</v>
      </c>
      <c r="S47" s="5"/>
    </row>
    <row r="48" spans="1:19" x14ac:dyDescent="0.2">
      <c r="A48" s="6" t="s">
        <v>28</v>
      </c>
      <c r="B48" s="1">
        <v>573.21</v>
      </c>
      <c r="C48" s="1">
        <f t="shared" si="1"/>
        <v>99.99</v>
      </c>
      <c r="D48" s="1">
        <v>12.01</v>
      </c>
      <c r="E48" s="1">
        <v>2.8</v>
      </c>
      <c r="G48" s="1">
        <v>0.1</v>
      </c>
      <c r="L48" s="1">
        <v>18.72</v>
      </c>
      <c r="M48" s="1">
        <v>0.11</v>
      </c>
      <c r="O48" s="1">
        <v>66.17</v>
      </c>
      <c r="Q48" s="1">
        <v>0.08</v>
      </c>
      <c r="S48" s="1" t="s">
        <v>111</v>
      </c>
    </row>
    <row r="49" spans="1:19" x14ac:dyDescent="0.2">
      <c r="A49" s="6" t="s">
        <v>68</v>
      </c>
      <c r="B49" s="1">
        <v>518.83000000000004</v>
      </c>
      <c r="C49" s="1">
        <f t="shared" si="1"/>
        <v>99.9</v>
      </c>
      <c r="D49" s="1">
        <v>4.8</v>
      </c>
      <c r="E49" s="1">
        <v>6.9</v>
      </c>
      <c r="G49" s="1">
        <v>1.7</v>
      </c>
      <c r="L49" s="1">
        <v>19.600000000000001</v>
      </c>
      <c r="O49" s="1">
        <v>66.7</v>
      </c>
      <c r="Q49" s="1">
        <v>0.2</v>
      </c>
      <c r="S49" s="6" t="s">
        <v>111</v>
      </c>
    </row>
    <row r="50" spans="1:19" x14ac:dyDescent="0.2">
      <c r="A50" s="1" t="s">
        <v>125</v>
      </c>
      <c r="C50" s="1">
        <f t="shared" si="1"/>
        <v>100</v>
      </c>
      <c r="D50" s="1">
        <v>21.59</v>
      </c>
      <c r="L50" s="1">
        <v>23.36</v>
      </c>
      <c r="O50" s="1">
        <v>55.05</v>
      </c>
    </row>
    <row r="51" spans="1:19" x14ac:dyDescent="0.2">
      <c r="A51" s="5" t="s">
        <v>4</v>
      </c>
      <c r="C51" s="1">
        <f t="shared" si="1"/>
        <v>100</v>
      </c>
      <c r="F51" s="1">
        <v>100</v>
      </c>
      <c r="S51" s="5"/>
    </row>
    <row r="52" spans="1:19" x14ac:dyDescent="0.2">
      <c r="A52" s="1" t="s">
        <v>29</v>
      </c>
      <c r="C52" s="1">
        <f t="shared" si="1"/>
        <v>100</v>
      </c>
      <c r="F52" s="1">
        <v>40.74</v>
      </c>
      <c r="Q52" s="1">
        <v>59.26</v>
      </c>
      <c r="S52" s="1" t="s">
        <v>111</v>
      </c>
    </row>
    <row r="53" spans="1:19" x14ac:dyDescent="0.2">
      <c r="A53" s="1" t="s">
        <v>55</v>
      </c>
      <c r="B53" s="1">
        <v>90</v>
      </c>
      <c r="C53" s="1">
        <f t="shared" si="1"/>
        <v>100</v>
      </c>
      <c r="F53" s="1">
        <v>33.222000000000001</v>
      </c>
      <c r="O53" s="1">
        <v>66.778000000000006</v>
      </c>
    </row>
    <row r="54" spans="1:19" x14ac:dyDescent="0.2">
      <c r="A54" s="1" t="s">
        <v>139</v>
      </c>
      <c r="C54" s="1">
        <f t="shared" si="1"/>
        <v>99.7</v>
      </c>
      <c r="E54" s="1">
        <v>3.2</v>
      </c>
      <c r="F54" s="1">
        <v>1.3</v>
      </c>
      <c r="G54" s="1">
        <v>5.5</v>
      </c>
      <c r="I54" s="1">
        <v>22.7</v>
      </c>
      <c r="L54" s="1">
        <v>0.8</v>
      </c>
      <c r="M54" s="1">
        <v>0.3</v>
      </c>
      <c r="O54" s="1">
        <v>53.2</v>
      </c>
      <c r="Q54" s="1">
        <v>12.7</v>
      </c>
      <c r="S54" s="1" t="s">
        <v>111</v>
      </c>
    </row>
    <row r="55" spans="1:19" x14ac:dyDescent="0.2">
      <c r="A55" s="5" t="s">
        <v>20</v>
      </c>
      <c r="C55" s="1">
        <f t="shared" si="1"/>
        <v>99.990000000000009</v>
      </c>
      <c r="I55" s="1">
        <v>43.09</v>
      </c>
      <c r="Q55" s="1">
        <v>37.64</v>
      </c>
      <c r="R55" s="1">
        <v>19.260000000000002</v>
      </c>
      <c r="S55" s="5" t="s">
        <v>111</v>
      </c>
    </row>
    <row r="56" spans="1:19" x14ac:dyDescent="0.2">
      <c r="A56" s="5" t="s">
        <v>6</v>
      </c>
      <c r="C56" s="1">
        <f t="shared" si="1"/>
        <v>100</v>
      </c>
      <c r="I56" s="1">
        <v>100</v>
      </c>
      <c r="S56" s="5"/>
    </row>
    <row r="57" spans="1:19" x14ac:dyDescent="0.2">
      <c r="A57" s="5" t="s">
        <v>151</v>
      </c>
      <c r="C57" s="1">
        <f t="shared" si="1"/>
        <v>99.88</v>
      </c>
      <c r="D57" s="1">
        <v>11.5</v>
      </c>
      <c r="E57" s="1">
        <v>3</v>
      </c>
      <c r="G57" s="1">
        <v>0.15</v>
      </c>
      <c r="I57" s="1">
        <v>0.15</v>
      </c>
      <c r="L57" s="1">
        <v>17.5</v>
      </c>
      <c r="M57" s="1">
        <v>0.08</v>
      </c>
      <c r="O57" s="1">
        <v>67</v>
      </c>
      <c r="Q57" s="1">
        <v>0.5</v>
      </c>
      <c r="S57" s="1" t="s">
        <v>111</v>
      </c>
    </row>
    <row r="58" spans="1:19" x14ac:dyDescent="0.2">
      <c r="A58" s="1" t="s">
        <v>129</v>
      </c>
      <c r="B58" s="1">
        <v>568.05999999999995</v>
      </c>
      <c r="C58" s="1">
        <f t="shared" si="1"/>
        <v>99.469999999999985</v>
      </c>
      <c r="D58" s="1">
        <v>4.0999999999999996</v>
      </c>
      <c r="E58" s="1">
        <v>6.5</v>
      </c>
      <c r="G58" s="1">
        <v>1.5</v>
      </c>
      <c r="L58" s="1">
        <v>18.2</v>
      </c>
      <c r="M58" s="1">
        <v>7.0000000000000007E-2</v>
      </c>
      <c r="O58" s="1">
        <v>68.8</v>
      </c>
      <c r="Q58" s="1">
        <v>0.3</v>
      </c>
      <c r="S58" s="1" t="s">
        <v>111</v>
      </c>
    </row>
    <row r="59" spans="1:19" x14ac:dyDescent="0.2">
      <c r="A59" s="6" t="s">
        <v>126</v>
      </c>
      <c r="C59" s="1">
        <f t="shared" si="1"/>
        <v>0</v>
      </c>
    </row>
    <row r="60" spans="1:19" x14ac:dyDescent="0.2">
      <c r="A60" s="5" t="s">
        <v>124</v>
      </c>
      <c r="C60" s="1">
        <f t="shared" si="1"/>
        <v>0</v>
      </c>
      <c r="S60" s="5"/>
    </row>
    <row r="61" spans="1:19" x14ac:dyDescent="0.2">
      <c r="A61" s="1" t="s">
        <v>30</v>
      </c>
      <c r="B61" s="1">
        <v>106</v>
      </c>
      <c r="C61" s="1">
        <f t="shared" si="1"/>
        <v>100</v>
      </c>
      <c r="E61" s="1">
        <v>50</v>
      </c>
      <c r="Q61" s="1">
        <v>50</v>
      </c>
      <c r="S61" s="1" t="s">
        <v>111</v>
      </c>
    </row>
    <row r="62" spans="1:19" x14ac:dyDescent="0.2">
      <c r="A62" s="6" t="s">
        <v>3</v>
      </c>
      <c r="C62" s="1">
        <f t="shared" si="1"/>
        <v>100</v>
      </c>
      <c r="E62" s="1">
        <v>100</v>
      </c>
    </row>
    <row r="63" spans="1:19" x14ac:dyDescent="0.2">
      <c r="A63" s="1" t="s">
        <v>38</v>
      </c>
      <c r="B63" s="1">
        <v>524.6</v>
      </c>
      <c r="C63" s="1">
        <f t="shared" si="1"/>
        <v>100</v>
      </c>
      <c r="E63" s="1">
        <v>11.82</v>
      </c>
      <c r="L63" s="1">
        <v>19.440000000000001</v>
      </c>
      <c r="O63" s="1">
        <v>68.739999999999995</v>
      </c>
    </row>
    <row r="64" spans="1:19" x14ac:dyDescent="0.2">
      <c r="A64" s="5" t="s">
        <v>69</v>
      </c>
      <c r="B64" s="1">
        <v>404.8</v>
      </c>
      <c r="C64" s="1">
        <f t="shared" si="1"/>
        <v>99.970000000000013</v>
      </c>
      <c r="D64" s="1">
        <v>4.8</v>
      </c>
      <c r="E64" s="1">
        <v>10.5</v>
      </c>
      <c r="G64" s="1">
        <v>0.35</v>
      </c>
      <c r="I64" s="1">
        <v>0.02</v>
      </c>
      <c r="L64" s="1">
        <v>23.6</v>
      </c>
      <c r="M64" s="1">
        <v>0.08</v>
      </c>
      <c r="O64" s="1">
        <v>60.2</v>
      </c>
      <c r="Q64" s="1">
        <v>0.42</v>
      </c>
      <c r="S64" s="5"/>
    </row>
    <row r="65" spans="1:19" x14ac:dyDescent="0.2">
      <c r="A65" s="1" t="s">
        <v>137</v>
      </c>
    </row>
    <row r="66" spans="1:19" x14ac:dyDescent="0.2">
      <c r="A66" s="5" t="s">
        <v>31</v>
      </c>
      <c r="C66" s="1">
        <f>SUM(D66:R66)</f>
        <v>89.37</v>
      </c>
      <c r="D66" s="1">
        <v>1.62</v>
      </c>
      <c r="L66" s="1">
        <v>28.2</v>
      </c>
      <c r="M66" s="1">
        <v>1.1200000000000001</v>
      </c>
      <c r="O66" s="1">
        <v>56.9</v>
      </c>
      <c r="P66" s="1">
        <v>1.53</v>
      </c>
    </row>
    <row r="67" spans="1:19" x14ac:dyDescent="0.2">
      <c r="A67" s="5" t="s">
        <v>32</v>
      </c>
      <c r="B67" s="1">
        <v>365.59</v>
      </c>
      <c r="C67" s="1">
        <f>SUM(D67:R67)</f>
        <v>100.60000000000001</v>
      </c>
      <c r="D67" s="1">
        <v>1.1000000000000001</v>
      </c>
      <c r="E67" s="1">
        <v>0.2</v>
      </c>
      <c r="G67" s="1">
        <v>0.2</v>
      </c>
      <c r="I67" s="1">
        <v>0.5</v>
      </c>
      <c r="L67" s="1">
        <v>26.3</v>
      </c>
      <c r="M67" s="1">
        <v>1.3</v>
      </c>
      <c r="O67" s="1">
        <v>59.7</v>
      </c>
      <c r="P67" s="1">
        <v>2</v>
      </c>
      <c r="Q67" s="1">
        <v>9.3000000000000007</v>
      </c>
      <c r="S67" s="1" t="s">
        <v>111</v>
      </c>
    </row>
    <row r="68" spans="1:19" x14ac:dyDescent="0.2">
      <c r="A68" s="5" t="s">
        <v>136</v>
      </c>
      <c r="S68" s="5"/>
    </row>
    <row r="69" spans="1:19" x14ac:dyDescent="0.2">
      <c r="A69" s="1" t="s">
        <v>71</v>
      </c>
      <c r="B69" s="1">
        <v>655.86</v>
      </c>
      <c r="C69" s="1">
        <f t="shared" ref="C69:C80" si="2">SUM(D69:R69)</f>
        <v>100.00999999999999</v>
      </c>
      <c r="F69" s="1">
        <v>4.87</v>
      </c>
      <c r="L69" s="1">
        <v>16.649999999999999</v>
      </c>
      <c r="O69" s="1">
        <v>78.489999999999995</v>
      </c>
      <c r="S69" s="1" t="s">
        <v>111</v>
      </c>
    </row>
    <row r="70" spans="1:19" x14ac:dyDescent="0.2">
      <c r="A70" s="5" t="s">
        <v>33</v>
      </c>
      <c r="C70" s="1">
        <f t="shared" si="2"/>
        <v>99.999999999999986</v>
      </c>
      <c r="D70" s="1">
        <v>5</v>
      </c>
      <c r="E70" s="1">
        <v>0.9</v>
      </c>
      <c r="G70" s="1">
        <v>1</v>
      </c>
      <c r="I70" s="1">
        <v>0.5</v>
      </c>
      <c r="L70" s="1">
        <v>12.7</v>
      </c>
      <c r="M70" s="1">
        <v>0.5</v>
      </c>
      <c r="O70" s="1">
        <v>76.5</v>
      </c>
      <c r="P70" s="1">
        <v>0.1</v>
      </c>
      <c r="Q70" s="1">
        <v>2.8</v>
      </c>
      <c r="S70" s="5" t="s">
        <v>111</v>
      </c>
    </row>
    <row r="71" spans="1:19" x14ac:dyDescent="0.2">
      <c r="A71" s="1" t="s">
        <v>34</v>
      </c>
      <c r="B71" s="1">
        <v>626.27</v>
      </c>
      <c r="C71" s="1">
        <f t="shared" si="2"/>
        <v>99.78</v>
      </c>
      <c r="D71" s="1">
        <v>4.1500000000000004</v>
      </c>
      <c r="E71" s="1">
        <v>0.38</v>
      </c>
      <c r="G71" s="1">
        <v>0.26</v>
      </c>
      <c r="I71" s="1">
        <v>1.59</v>
      </c>
      <c r="L71" s="1">
        <v>15.51</v>
      </c>
      <c r="M71" s="1">
        <v>7.05</v>
      </c>
      <c r="O71" s="1">
        <v>64.95</v>
      </c>
      <c r="P71" s="1">
        <v>1.0900000000000001</v>
      </c>
      <c r="Q71" s="1">
        <v>4.8</v>
      </c>
      <c r="S71" s="1" t="s">
        <v>111</v>
      </c>
    </row>
    <row r="72" spans="1:19" x14ac:dyDescent="0.2">
      <c r="A72" s="1" t="s">
        <v>51</v>
      </c>
      <c r="C72" s="1">
        <f t="shared" si="2"/>
        <v>100.1</v>
      </c>
      <c r="M72" s="1">
        <v>10</v>
      </c>
      <c r="P72" s="1">
        <v>90</v>
      </c>
      <c r="R72" s="1">
        <v>0.1</v>
      </c>
      <c r="S72" s="1" t="s">
        <v>111</v>
      </c>
    </row>
    <row r="73" spans="1:19" x14ac:dyDescent="0.2">
      <c r="A73" s="5" t="s">
        <v>141</v>
      </c>
      <c r="B73" s="1">
        <v>60.06</v>
      </c>
      <c r="C73" s="1">
        <f t="shared" si="2"/>
        <v>100</v>
      </c>
      <c r="O73" s="1">
        <v>100</v>
      </c>
      <c r="S73" s="5"/>
    </row>
    <row r="74" spans="1:19" x14ac:dyDescent="0.2">
      <c r="A74" s="1" t="s">
        <v>13</v>
      </c>
      <c r="C74" s="1">
        <f t="shared" si="2"/>
        <v>100</v>
      </c>
      <c r="O74" s="1">
        <v>100</v>
      </c>
    </row>
    <row r="75" spans="1:19" x14ac:dyDescent="0.2">
      <c r="A75" s="5" t="s">
        <v>70</v>
      </c>
      <c r="B75" s="1">
        <v>376.28</v>
      </c>
      <c r="C75" s="1">
        <f t="shared" si="2"/>
        <v>99.87</v>
      </c>
      <c r="D75" s="1">
        <v>0.15</v>
      </c>
      <c r="E75" s="1">
        <v>0.15</v>
      </c>
      <c r="F75" s="1">
        <v>7.7</v>
      </c>
      <c r="G75" s="1">
        <v>0.03</v>
      </c>
      <c r="L75" s="1">
        <v>26.77</v>
      </c>
      <c r="M75" s="1">
        <v>0.09</v>
      </c>
      <c r="O75" s="1">
        <v>64.97</v>
      </c>
      <c r="P75" s="1">
        <v>0.01</v>
      </c>
      <c r="S75" s="5" t="s">
        <v>152</v>
      </c>
    </row>
    <row r="76" spans="1:19" x14ac:dyDescent="0.2">
      <c r="A76" s="6" t="s">
        <v>21</v>
      </c>
      <c r="C76" s="1">
        <f t="shared" si="2"/>
        <v>100</v>
      </c>
      <c r="H76" s="1">
        <v>70.2</v>
      </c>
      <c r="Q76" s="1">
        <v>29.8</v>
      </c>
      <c r="S76" s="1" t="s">
        <v>111</v>
      </c>
    </row>
    <row r="77" spans="1:19" x14ac:dyDescent="0.2">
      <c r="A77" s="6" t="s">
        <v>7</v>
      </c>
      <c r="C77" s="1">
        <f t="shared" si="2"/>
        <v>100</v>
      </c>
      <c r="H77" s="1">
        <v>100</v>
      </c>
    </row>
    <row r="78" spans="1:19" x14ac:dyDescent="0.2">
      <c r="A78" s="5" t="s">
        <v>103</v>
      </c>
      <c r="C78" s="1">
        <f t="shared" si="2"/>
        <v>32.79</v>
      </c>
      <c r="O78" s="1">
        <v>32.79</v>
      </c>
      <c r="S78" s="5" t="s">
        <v>111</v>
      </c>
    </row>
    <row r="79" spans="1:19" x14ac:dyDescent="0.2">
      <c r="A79" s="30" t="s">
        <v>153</v>
      </c>
      <c r="C79" s="1">
        <f t="shared" si="2"/>
        <v>99.84</v>
      </c>
      <c r="E79" s="1">
        <v>0.34</v>
      </c>
      <c r="G79" s="1">
        <v>8.42</v>
      </c>
      <c r="I79" s="1">
        <v>30</v>
      </c>
      <c r="L79" s="1">
        <v>0.31</v>
      </c>
      <c r="M79" s="1">
        <v>0.16</v>
      </c>
      <c r="O79" s="1">
        <v>55.2</v>
      </c>
      <c r="Q79" s="1">
        <v>5.41</v>
      </c>
      <c r="S79" s="5" t="s">
        <v>150</v>
      </c>
    </row>
    <row r="80" spans="1:19" x14ac:dyDescent="0.2">
      <c r="A80" s="5" t="s">
        <v>154</v>
      </c>
      <c r="B80" s="1">
        <v>132.16</v>
      </c>
      <c r="C80" s="1">
        <f t="shared" si="2"/>
        <v>99.699999999999989</v>
      </c>
      <c r="D80" s="1">
        <v>0.3</v>
      </c>
      <c r="G80" s="1">
        <v>3.5</v>
      </c>
      <c r="I80" s="1">
        <v>29.5</v>
      </c>
      <c r="L80" s="1">
        <v>0.3</v>
      </c>
      <c r="M80" s="1">
        <v>0.5</v>
      </c>
      <c r="O80" s="1">
        <v>53.5</v>
      </c>
      <c r="P80" s="1">
        <v>0.1</v>
      </c>
      <c r="R80" s="1">
        <v>12</v>
      </c>
      <c r="S80" s="5" t="s">
        <v>155</v>
      </c>
    </row>
    <row r="81" spans="1:19" x14ac:dyDescent="0.2">
      <c r="A81" s="30" t="s">
        <v>106</v>
      </c>
      <c r="S81" s="5"/>
    </row>
    <row r="82" spans="1:19" x14ac:dyDescent="0.2">
      <c r="A82" s="6" t="s">
        <v>14</v>
      </c>
      <c r="C82" s="1">
        <f t="shared" ref="C82:C88" si="3">SUM(D82:R82)</f>
        <v>100</v>
      </c>
      <c r="P82" s="1">
        <v>100</v>
      </c>
    </row>
    <row r="83" spans="1:19" x14ac:dyDescent="0.2">
      <c r="A83" s="1" t="s">
        <v>138</v>
      </c>
      <c r="C83" s="1">
        <f t="shared" si="3"/>
        <v>35</v>
      </c>
      <c r="O83" s="1">
        <v>35</v>
      </c>
      <c r="S83" s="1" t="s">
        <v>111</v>
      </c>
    </row>
    <row r="84" spans="1:19" x14ac:dyDescent="0.2">
      <c r="A84" s="5" t="s">
        <v>128</v>
      </c>
      <c r="C84" s="1">
        <f t="shared" si="3"/>
        <v>0</v>
      </c>
      <c r="S84" s="5"/>
    </row>
    <row r="85" spans="1:19" x14ac:dyDescent="0.2">
      <c r="A85" s="5" t="s">
        <v>35</v>
      </c>
      <c r="C85" s="1">
        <f t="shared" si="3"/>
        <v>98.45</v>
      </c>
      <c r="D85" s="1">
        <v>4.5</v>
      </c>
      <c r="E85" s="1">
        <v>3.6</v>
      </c>
      <c r="G85" s="1">
        <v>1</v>
      </c>
      <c r="I85" s="1">
        <v>0.35</v>
      </c>
      <c r="L85" s="1">
        <v>13</v>
      </c>
      <c r="M85" s="1">
        <v>3</v>
      </c>
      <c r="O85" s="1">
        <v>73</v>
      </c>
      <c r="S85" s="5"/>
    </row>
    <row r="86" spans="1:19" x14ac:dyDescent="0.2">
      <c r="A86" s="5" t="s">
        <v>85</v>
      </c>
      <c r="B86" s="1">
        <v>141.41999999999999</v>
      </c>
      <c r="C86" s="1">
        <f t="shared" si="3"/>
        <v>99.999999999999986</v>
      </c>
      <c r="D86" s="1">
        <v>1</v>
      </c>
      <c r="E86" s="1">
        <v>0.9</v>
      </c>
      <c r="G86" s="1">
        <v>2.9</v>
      </c>
      <c r="I86" s="1">
        <v>25.4</v>
      </c>
      <c r="L86" s="1">
        <v>0.35</v>
      </c>
      <c r="M86" s="1">
        <v>0.5</v>
      </c>
      <c r="O86" s="1">
        <v>57.3</v>
      </c>
      <c r="Q86" s="1">
        <v>7.35</v>
      </c>
      <c r="R86" s="1">
        <v>4.3</v>
      </c>
      <c r="S86" s="5" t="s">
        <v>53</v>
      </c>
    </row>
    <row r="87" spans="1:19" x14ac:dyDescent="0.2">
      <c r="A87" s="5" t="s">
        <v>36</v>
      </c>
      <c r="C87" s="1">
        <f t="shared" si="3"/>
        <v>100</v>
      </c>
      <c r="G87" s="1">
        <v>56.1</v>
      </c>
      <c r="Q87" s="1">
        <v>43.9</v>
      </c>
      <c r="S87" s="5" t="s">
        <v>53</v>
      </c>
    </row>
    <row r="88" spans="1:19" x14ac:dyDescent="0.2">
      <c r="A88" s="5" t="s">
        <v>86</v>
      </c>
      <c r="B88" s="1">
        <v>116.17</v>
      </c>
      <c r="C88" s="1">
        <f t="shared" si="3"/>
        <v>100</v>
      </c>
      <c r="G88" s="1">
        <v>48.28</v>
      </c>
      <c r="O88" s="1">
        <v>51.72</v>
      </c>
      <c r="S88" s="5" t="s">
        <v>53</v>
      </c>
    </row>
    <row r="89" spans="1:19" x14ac:dyDescent="0.2">
      <c r="A89" s="5" t="s">
        <v>156</v>
      </c>
      <c r="S89" s="5"/>
    </row>
    <row r="90" spans="1:19" x14ac:dyDescent="0.2">
      <c r="A90" s="5" t="s">
        <v>107</v>
      </c>
      <c r="C90" s="1">
        <f>SUM(D90:R90)</f>
        <v>32.79</v>
      </c>
      <c r="O90" s="1">
        <v>32.79</v>
      </c>
      <c r="S90" s="5" t="s">
        <v>111</v>
      </c>
    </row>
    <row r="91" spans="1:19" x14ac:dyDescent="0.2">
      <c r="A91" s="5" t="s">
        <v>8</v>
      </c>
      <c r="C91" s="1">
        <f>SUM(D91:R91)</f>
        <v>100</v>
      </c>
      <c r="J91" s="1">
        <v>100</v>
      </c>
      <c r="S91" s="5"/>
    </row>
    <row r="92" spans="1:19" x14ac:dyDescent="0.2">
      <c r="A92" s="5"/>
      <c r="S92" s="5"/>
    </row>
    <row r="93" spans="1:19" x14ac:dyDescent="0.2">
      <c r="A93" s="5"/>
      <c r="S93" s="5"/>
    </row>
    <row r="95" spans="1:19" x14ac:dyDescent="0.2">
      <c r="A95" s="5"/>
      <c r="S95" s="5"/>
    </row>
    <row r="96" spans="1:19" x14ac:dyDescent="0.2">
      <c r="A96" s="5"/>
      <c r="S96" s="5"/>
    </row>
    <row r="100" spans="1:19" x14ac:dyDescent="0.2">
      <c r="A100" s="5"/>
      <c r="S100" s="5"/>
    </row>
    <row r="103" spans="1:19" x14ac:dyDescent="0.2">
      <c r="A103" s="5"/>
      <c r="S103" s="5"/>
    </row>
    <row r="104" spans="1:19" x14ac:dyDescent="0.2">
      <c r="A104" s="6"/>
    </row>
  </sheetData>
  <customSheetViews>
    <customSheetView guid="{F4BE76DD-723E-4733-BD34-0D79E0B93861}" scale="132">
      <pane ySplit="4" topLeftCell="A5" activePane="bottomLeft" state="frozen"/>
      <selection pane="bottomLeft" activeCell="B16" sqref="B16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" sqref="C1"/>
    </sheetView>
  </sheetViews>
  <sheetFormatPr defaultRowHeight="12.75" x14ac:dyDescent="0.2"/>
  <sheetData>
    <row r="1" spans="1:3" x14ac:dyDescent="0.2">
      <c r="A1" s="215" t="s">
        <v>158</v>
      </c>
      <c r="C1" s="215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Recipe to Formula (1)</vt:lpstr>
      <vt:lpstr>Recipe to Formula (2)</vt:lpstr>
      <vt:lpstr>Recipe to Formula (3)</vt:lpstr>
      <vt:lpstr>%Analysis</vt:lpstr>
      <vt:lpstr>Revisions</vt:lpstr>
      <vt:lpstr>Mineral</vt:lpstr>
      <vt:lpstr>'Recipe to Formula (1)'!Print_Area</vt:lpstr>
      <vt:lpstr>'Recipe to Formula (2)'!Print_Area</vt:lpstr>
      <vt:lpstr>'Recipe to Formula (3)'!Print_Area</vt:lpstr>
    </vt:vector>
  </TitlesOfParts>
  <Company>Era Laboratories,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Magnuson</dc:creator>
  <cp:lastModifiedBy>Bob &amp; Susan</cp:lastModifiedBy>
  <cp:lastPrinted>2021-05-03T19:53:43Z</cp:lastPrinted>
  <dcterms:created xsi:type="dcterms:W3CDTF">1998-09-30T02:59:40Z</dcterms:created>
  <dcterms:modified xsi:type="dcterms:W3CDTF">2021-10-30T16:43:50Z</dcterms:modified>
</cp:coreProperties>
</file>